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66925"/>
  <xr:revisionPtr revIDLastSave="0" documentId="8_{0812CFB9-E120-4ECC-AE80-643EC37EFC7F}" xr6:coauthVersionLast="47" xr6:coauthVersionMax="47" xr10:uidLastSave="{00000000-0000-0000-0000-000000000000}"/>
  <workbookProtection workbookAlgorithmName="SHA-512" workbookHashValue="xu88Mv/6fJw4As1S8MvxncL6vHpbv4/wuf/6DGRVCy7pIoa4sd8pyMKo4NlXO1PuDqKVBWyhhfaCzLW7vQeDSA==" workbookSaltValue="KX3jC7cGtPb6kA1x2HXUxA==" workbookSpinCount="100000" lockStructure="1"/>
  <bookViews>
    <workbookView xWindow="2700" yWindow="2700" windowWidth="21600" windowHeight="12450" tabRatio="831" xr2:uid="{C2FA774F-1670-48EC-864B-E755AD9DEE64}"/>
  </bookViews>
  <sheets>
    <sheet name="OBSAH" sheetId="14" r:id="rId1"/>
    <sheet name="1a) Komentář - veřejné příjmy" sheetId="15" r:id="rId2"/>
    <sheet name="1b) Kalkulačka - veřejné příjmy" sheetId="16" r:id="rId3"/>
    <sheet name="2a) Komentář - výdaje SR " sheetId="5" r:id="rId4"/>
    <sheet name="2b) Kalkulačka - výdaje SR" sheetId="6" r:id="rId5"/>
    <sheet name="3a) Komentář - státní fondy" sheetId="8" r:id="rId6"/>
    <sheet name="3b) Kalkulačka - státní fondy" sheetId="7" r:id="rId7"/>
    <sheet name="4a) Komentář - kraje a obce" sheetId="9" r:id="rId8"/>
    <sheet name="4b) Kalkulačka - výdaje krajů" sheetId="10" r:id="rId9"/>
    <sheet name="4c) Kalkulačka - výdaje obcí" sheetId="11" r:id="rId10"/>
    <sheet name="5a) Komentář - zdr. poj." sheetId="12" r:id="rId11"/>
    <sheet name="5b) Kalkulačka - zdr. poj." sheetId="13" r:id="rId12"/>
  </sheets>
  <definedNames>
    <definedName name="_ftn1" localSheetId="3">'2a) Komentář - výdaje SR '!#REF!</definedName>
    <definedName name="_ftnref1" localSheetId="3">'2a) Komentář - výdaje SR '!$C$8</definedName>
    <definedName name="_xlnm.Print_Area" localSheetId="1">'1a) Komentář - veřejné příjmy'!$C$2:$C$22</definedName>
    <definedName name="_xlnm.Print_Area" localSheetId="2">'1b) Kalkulačka - veřejné příjmy'!$A$1:$O$40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10" l="1"/>
  <c r="M6" i="10"/>
  <c r="M7" i="11"/>
  <c r="M8" i="11"/>
  <c r="M6" i="11"/>
  <c r="C102" i="10" l="1"/>
  <c r="C99" i="10"/>
  <c r="C98" i="10"/>
  <c r="C96" i="10"/>
  <c r="C79" i="10"/>
  <c r="C66" i="10"/>
  <c r="C65" i="10"/>
  <c r="C63" i="10"/>
  <c r="C60" i="10"/>
  <c r="C58" i="10"/>
  <c r="C15" i="10"/>
  <c r="C9" i="10"/>
  <c r="C5" i="10"/>
  <c r="M123" i="11"/>
  <c r="M116" i="11"/>
  <c r="C115" i="11"/>
  <c r="M114" i="11"/>
  <c r="N114" i="11" s="1"/>
  <c r="M113" i="11"/>
  <c r="N113" i="11" s="1"/>
  <c r="M112" i="11"/>
  <c r="N112" i="11" s="1"/>
  <c r="M111" i="11"/>
  <c r="N111" i="11" s="1"/>
  <c r="M110" i="11"/>
  <c r="N110" i="11" s="1"/>
  <c r="M109" i="11"/>
  <c r="N109" i="11" s="1"/>
  <c r="M107" i="11"/>
  <c r="M106" i="11"/>
  <c r="N106" i="11" s="1"/>
  <c r="M104" i="11"/>
  <c r="N104" i="11" s="1"/>
  <c r="M103" i="11"/>
  <c r="N103" i="11" s="1"/>
  <c r="M102" i="11"/>
  <c r="C100" i="11"/>
  <c r="C117" i="11" s="1"/>
  <c r="M99" i="11"/>
  <c r="N99" i="11" s="1"/>
  <c r="M98" i="11"/>
  <c r="N98" i="11" s="1"/>
  <c r="M97" i="11"/>
  <c r="N97" i="11" s="1"/>
  <c r="M96" i="11"/>
  <c r="N96" i="11" s="1"/>
  <c r="M95" i="11"/>
  <c r="N95" i="11" s="1"/>
  <c r="M94" i="11"/>
  <c r="N94" i="11" s="1"/>
  <c r="M93" i="11"/>
  <c r="N93" i="11" s="1"/>
  <c r="M92" i="11"/>
  <c r="N92" i="11" s="1"/>
  <c r="M91" i="11"/>
  <c r="N91" i="11" s="1"/>
  <c r="M90" i="11"/>
  <c r="N90" i="11" s="1"/>
  <c r="M89" i="11"/>
  <c r="N89" i="11" s="1"/>
  <c r="M88" i="11"/>
  <c r="N88" i="11" s="1"/>
  <c r="M87" i="11"/>
  <c r="N87" i="11" s="1"/>
  <c r="M86" i="11"/>
  <c r="N86" i="11" s="1"/>
  <c r="M85" i="11"/>
  <c r="N85" i="11" s="1"/>
  <c r="M84" i="11"/>
  <c r="N84" i="11" s="1"/>
  <c r="M83" i="11"/>
  <c r="C81" i="11"/>
  <c r="M79" i="11"/>
  <c r="N79" i="11" s="1"/>
  <c r="C78" i="11"/>
  <c r="M77" i="11"/>
  <c r="N77" i="11" s="1"/>
  <c r="M76" i="11"/>
  <c r="N76" i="11" s="1"/>
  <c r="C75" i="11"/>
  <c r="M74" i="11"/>
  <c r="N74" i="11" s="1"/>
  <c r="C73" i="11"/>
  <c r="M72" i="11"/>
  <c r="N72" i="11" s="1"/>
  <c r="M71" i="11"/>
  <c r="N71" i="11" s="1"/>
  <c r="M70" i="11"/>
  <c r="N70" i="11" s="1"/>
  <c r="M68" i="11"/>
  <c r="N68" i="11" s="1"/>
  <c r="M67" i="11"/>
  <c r="N67" i="11" s="1"/>
  <c r="M66" i="11"/>
  <c r="N66" i="11" s="1"/>
  <c r="M65" i="11"/>
  <c r="N65" i="11" s="1"/>
  <c r="M64" i="11"/>
  <c r="N64" i="11" s="1"/>
  <c r="M63" i="11"/>
  <c r="N63" i="11" s="1"/>
  <c r="M62" i="11"/>
  <c r="N62" i="11" s="1"/>
  <c r="M61" i="11"/>
  <c r="N61" i="11" s="1"/>
  <c r="M60" i="11"/>
  <c r="N60" i="11" s="1"/>
  <c r="M59" i="11"/>
  <c r="N59" i="11" s="1"/>
  <c r="M58" i="11"/>
  <c r="N58" i="11" s="1"/>
  <c r="M57" i="11"/>
  <c r="N57" i="11" s="1"/>
  <c r="M54" i="11"/>
  <c r="N54" i="11" s="1"/>
  <c r="M53" i="11"/>
  <c r="N53" i="11" s="1"/>
  <c r="M52" i="11"/>
  <c r="N52" i="11" s="1"/>
  <c r="M51" i="11"/>
  <c r="N51" i="11" s="1"/>
  <c r="M50" i="11"/>
  <c r="N50" i="11" s="1"/>
  <c r="M49" i="11"/>
  <c r="N49" i="11" s="1"/>
  <c r="M47" i="11"/>
  <c r="M46" i="11"/>
  <c r="N46" i="11" s="1"/>
  <c r="M45" i="11"/>
  <c r="N45" i="11" s="1"/>
  <c r="M44" i="11"/>
  <c r="C42" i="11"/>
  <c r="M41" i="11"/>
  <c r="N41" i="11" s="1"/>
  <c r="M40" i="11"/>
  <c r="N40" i="11" s="1"/>
  <c r="M39" i="11"/>
  <c r="N39" i="11" s="1"/>
  <c r="M38" i="11"/>
  <c r="N38" i="11" s="1"/>
  <c r="M37" i="11"/>
  <c r="N37" i="11" s="1"/>
  <c r="M36" i="11"/>
  <c r="N36" i="11" s="1"/>
  <c r="M35" i="11"/>
  <c r="N35" i="11" s="1"/>
  <c r="M34" i="11"/>
  <c r="N34" i="11" s="1"/>
  <c r="M33" i="11"/>
  <c r="N33" i="11" s="1"/>
  <c r="M31" i="11"/>
  <c r="N31" i="11" s="1"/>
  <c r="M30" i="11"/>
  <c r="N30" i="11" s="1"/>
  <c r="M29" i="11"/>
  <c r="N29" i="11" s="1"/>
  <c r="M28" i="11"/>
  <c r="N28" i="11" s="1"/>
  <c r="M27" i="11"/>
  <c r="N27" i="11" s="1"/>
  <c r="M26" i="11"/>
  <c r="N26" i="11" s="1"/>
  <c r="M25" i="11"/>
  <c r="N25" i="11" s="1"/>
  <c r="M24" i="11"/>
  <c r="N24" i="11" s="1"/>
  <c r="M23" i="11"/>
  <c r="N23" i="11" s="1"/>
  <c r="M21" i="11"/>
  <c r="N21" i="11" s="1"/>
  <c r="M20" i="11"/>
  <c r="N20" i="11" s="1"/>
  <c r="M19" i="11"/>
  <c r="N19" i="11" s="1"/>
  <c r="M18" i="11"/>
  <c r="N18" i="11" s="1"/>
  <c r="M17" i="11"/>
  <c r="M16" i="11"/>
  <c r="N16" i="11" s="1"/>
  <c r="M15" i="11"/>
  <c r="N15" i="11" s="1"/>
  <c r="M14" i="11"/>
  <c r="N14" i="11" s="1"/>
  <c r="M13" i="11"/>
  <c r="N13" i="11" s="1"/>
  <c r="M12" i="11"/>
  <c r="N12" i="11" s="1"/>
  <c r="C11" i="11"/>
  <c r="M10" i="11"/>
  <c r="N10" i="11" s="1"/>
  <c r="M9" i="11"/>
  <c r="M5" i="11" s="1"/>
  <c r="E8" i="11"/>
  <c r="N7" i="11"/>
  <c r="G6" i="11"/>
  <c r="E6" i="11"/>
  <c r="C5" i="11"/>
  <c r="M104" i="10"/>
  <c r="M97" i="10"/>
  <c r="N97" i="10" s="1"/>
  <c r="M95" i="10"/>
  <c r="N95" i="10" s="1"/>
  <c r="M94" i="10"/>
  <c r="N94" i="10" s="1"/>
  <c r="M93" i="10"/>
  <c r="N93" i="10" s="1"/>
  <c r="M91" i="10"/>
  <c r="N91" i="10" s="1"/>
  <c r="M90" i="10"/>
  <c r="N90" i="10" s="1"/>
  <c r="M89" i="10"/>
  <c r="N89" i="10" s="1"/>
  <c r="M88" i="10"/>
  <c r="N88" i="10" s="1"/>
  <c r="M87" i="10"/>
  <c r="M85" i="10"/>
  <c r="N85" i="10" s="1"/>
  <c r="M84" i="10"/>
  <c r="N84" i="10" s="1"/>
  <c r="M82" i="10"/>
  <c r="N82" i="10" s="1"/>
  <c r="M81" i="10"/>
  <c r="M78" i="10"/>
  <c r="N78" i="10" s="1"/>
  <c r="M77" i="10"/>
  <c r="N77" i="10" s="1"/>
  <c r="M76" i="10"/>
  <c r="N76" i="10" s="1"/>
  <c r="M75" i="10"/>
  <c r="N75" i="10" s="1"/>
  <c r="M74" i="10"/>
  <c r="N74" i="10" s="1"/>
  <c r="M73" i="10"/>
  <c r="N73" i="10" s="1"/>
  <c r="M72" i="10"/>
  <c r="N72" i="10" s="1"/>
  <c r="M71" i="10"/>
  <c r="M70" i="10"/>
  <c r="N70" i="10" s="1"/>
  <c r="M68" i="10"/>
  <c r="N68" i="10" s="1"/>
  <c r="M67" i="10"/>
  <c r="M64" i="10"/>
  <c r="M62" i="10"/>
  <c r="N62" i="10" s="1"/>
  <c r="M61" i="10"/>
  <c r="N61" i="10" s="1"/>
  <c r="M60" i="10"/>
  <c r="N60" i="10" s="1"/>
  <c r="M59" i="10"/>
  <c r="M57" i="10"/>
  <c r="N57" i="10" s="1"/>
  <c r="M56" i="10"/>
  <c r="N56" i="10" s="1"/>
  <c r="M55" i="10"/>
  <c r="N55" i="10" s="1"/>
  <c r="M53" i="10"/>
  <c r="N53" i="10" s="1"/>
  <c r="M52" i="10"/>
  <c r="N52" i="10" s="1"/>
  <c r="M50" i="10"/>
  <c r="N50" i="10" s="1"/>
  <c r="M49" i="10"/>
  <c r="N49" i="10" s="1"/>
  <c r="M48" i="10"/>
  <c r="N48" i="10" s="1"/>
  <c r="M47" i="10"/>
  <c r="N47" i="10" s="1"/>
  <c r="M46" i="10"/>
  <c r="N46" i="10" s="1"/>
  <c r="M43" i="10"/>
  <c r="N43" i="10" s="1"/>
  <c r="M42" i="10"/>
  <c r="N42" i="10" s="1"/>
  <c r="M41" i="10"/>
  <c r="N41" i="10" s="1"/>
  <c r="M40" i="10"/>
  <c r="N40" i="10" s="1"/>
  <c r="M39" i="10"/>
  <c r="N39" i="10" s="1"/>
  <c r="M38" i="10"/>
  <c r="N38" i="10" s="1"/>
  <c r="M37" i="10"/>
  <c r="N37" i="10" s="1"/>
  <c r="M36" i="10"/>
  <c r="N36" i="10" s="1"/>
  <c r="M35" i="10"/>
  <c r="N35" i="10" s="1"/>
  <c r="M34" i="10"/>
  <c r="N34" i="10" s="1"/>
  <c r="M32" i="10"/>
  <c r="N32" i="10" s="1"/>
  <c r="M30" i="10"/>
  <c r="N30" i="10" s="1"/>
  <c r="M29" i="10"/>
  <c r="N29" i="10" s="1"/>
  <c r="M28" i="10"/>
  <c r="N28" i="10" s="1"/>
  <c r="M26" i="10"/>
  <c r="N26" i="10" s="1"/>
  <c r="M25" i="10"/>
  <c r="N25" i="10" s="1"/>
  <c r="M24" i="10"/>
  <c r="N24" i="10" s="1"/>
  <c r="M23" i="10"/>
  <c r="M22" i="10"/>
  <c r="N22" i="10" s="1"/>
  <c r="M20" i="10"/>
  <c r="N20" i="10" s="1"/>
  <c r="M19" i="10"/>
  <c r="N19" i="10" s="1"/>
  <c r="M18" i="10"/>
  <c r="N18" i="10" s="1"/>
  <c r="M17" i="10"/>
  <c r="M14" i="10"/>
  <c r="N14" i="10" s="1"/>
  <c r="M13" i="10"/>
  <c r="N13" i="10" s="1"/>
  <c r="M12" i="10"/>
  <c r="N12" i="10" s="1"/>
  <c r="M11" i="10"/>
  <c r="N11" i="10" s="1"/>
  <c r="M8" i="10"/>
  <c r="N8" i="10" s="1"/>
  <c r="N7" i="10"/>
  <c r="G6" i="10"/>
  <c r="C62" i="13"/>
  <c r="N61" i="13"/>
  <c r="N60" i="13"/>
  <c r="N59" i="13"/>
  <c r="M58" i="13"/>
  <c r="N58" i="13" s="1"/>
  <c r="M57" i="13"/>
  <c r="M56" i="13"/>
  <c r="M55" i="13"/>
  <c r="G55" i="13"/>
  <c r="C54" i="13"/>
  <c r="M51" i="13"/>
  <c r="N51" i="13" s="1"/>
  <c r="M50" i="13"/>
  <c r="N50" i="13" s="1"/>
  <c r="M49" i="13"/>
  <c r="M48" i="13"/>
  <c r="M47" i="13"/>
  <c r="G47" i="13"/>
  <c r="M46" i="13"/>
  <c r="G46" i="13"/>
  <c r="C45" i="13"/>
  <c r="N44" i="13"/>
  <c r="M44" i="13"/>
  <c r="G44" i="13"/>
  <c r="M43" i="13"/>
  <c r="G43" i="13"/>
  <c r="M42" i="13"/>
  <c r="G42" i="13"/>
  <c r="M41" i="13"/>
  <c r="G41" i="13"/>
  <c r="M40" i="13"/>
  <c r="G40" i="13"/>
  <c r="M39" i="13"/>
  <c r="G39" i="13"/>
  <c r="M38" i="13"/>
  <c r="G38" i="13"/>
  <c r="M37" i="13"/>
  <c r="G37" i="13"/>
  <c r="M36" i="13"/>
  <c r="G36" i="13"/>
  <c r="M35" i="13"/>
  <c r="G35" i="13"/>
  <c r="M34" i="13"/>
  <c r="G34" i="13"/>
  <c r="M33" i="13"/>
  <c r="G33" i="13"/>
  <c r="M32" i="13"/>
  <c r="G32" i="13"/>
  <c r="M31" i="13"/>
  <c r="G31" i="13"/>
  <c r="C30" i="13"/>
  <c r="M29" i="13"/>
  <c r="G29" i="13"/>
  <c r="M28" i="13"/>
  <c r="G28" i="13"/>
  <c r="M27" i="13"/>
  <c r="G27" i="13"/>
  <c r="M26" i="13"/>
  <c r="G26" i="13"/>
  <c r="M25" i="13"/>
  <c r="G25" i="13"/>
  <c r="M24" i="13"/>
  <c r="G24" i="13"/>
  <c r="M23" i="13"/>
  <c r="G23" i="13"/>
  <c r="M22" i="13"/>
  <c r="G22" i="13"/>
  <c r="C21" i="13"/>
  <c r="M20" i="13"/>
  <c r="G20" i="13"/>
  <c r="M19" i="13"/>
  <c r="G19" i="13"/>
  <c r="M18" i="13"/>
  <c r="G18" i="13"/>
  <c r="M17" i="13"/>
  <c r="C17" i="13"/>
  <c r="C7" i="13" s="1"/>
  <c r="M16" i="13"/>
  <c r="G16" i="13"/>
  <c r="M15" i="13"/>
  <c r="G15" i="13"/>
  <c r="C15" i="13"/>
  <c r="M14" i="13"/>
  <c r="G14" i="13"/>
  <c r="M13" i="13"/>
  <c r="G13" i="13"/>
  <c r="M12" i="13"/>
  <c r="G12" i="13"/>
  <c r="M11" i="13"/>
  <c r="G11" i="13"/>
  <c r="M10" i="13"/>
  <c r="G10" i="13"/>
  <c r="M9" i="13"/>
  <c r="G9" i="13"/>
  <c r="M8" i="13"/>
  <c r="G8" i="13"/>
  <c r="N116" i="11" l="1"/>
  <c r="M115" i="11"/>
  <c r="N115" i="11" s="1"/>
  <c r="N102" i="11"/>
  <c r="M100" i="11"/>
  <c r="N100" i="11" s="1"/>
  <c r="N83" i="11"/>
  <c r="M81" i="11"/>
  <c r="M78" i="11"/>
  <c r="N78" i="11" s="1"/>
  <c r="M75" i="11"/>
  <c r="N75" i="11" s="1"/>
  <c r="M96" i="10"/>
  <c r="N44" i="11"/>
  <c r="M42" i="11"/>
  <c r="N42" i="11" s="1"/>
  <c r="M11" i="11"/>
  <c r="N11" i="11" s="1"/>
  <c r="N9" i="11"/>
  <c r="N81" i="10"/>
  <c r="M79" i="10"/>
  <c r="N79" i="10" s="1"/>
  <c r="N67" i="10"/>
  <c r="M66" i="10"/>
  <c r="N59" i="10"/>
  <c r="M58" i="10"/>
  <c r="N58" i="10" s="1"/>
  <c r="N17" i="10"/>
  <c r="M15" i="10"/>
  <c r="N15" i="10" s="1"/>
  <c r="M9" i="10"/>
  <c r="N96" i="10"/>
  <c r="N9" i="10"/>
  <c r="N6" i="11"/>
  <c r="N17" i="11"/>
  <c r="C118" i="11"/>
  <c r="C121" i="11" s="1"/>
  <c r="N47" i="11"/>
  <c r="C80" i="11"/>
  <c r="N107" i="11"/>
  <c r="M73" i="11"/>
  <c r="G8" i="11"/>
  <c r="N71" i="10"/>
  <c r="N87" i="10"/>
  <c r="M63" i="10"/>
  <c r="N63" i="10" s="1"/>
  <c r="N64" i="10"/>
  <c r="N23" i="10"/>
  <c r="M54" i="13"/>
  <c r="M62" i="13" s="1"/>
  <c r="N62" i="13" s="1"/>
  <c r="M45" i="13"/>
  <c r="N45" i="13" s="1"/>
  <c r="M30" i="13"/>
  <c r="M21" i="13"/>
  <c r="N21" i="13" s="1"/>
  <c r="M7" i="13"/>
  <c r="N7" i="13" s="1"/>
  <c r="N30" i="13"/>
  <c r="C6" i="13"/>
  <c r="G17" i="13"/>
  <c r="I28" i="16"/>
  <c r="J28" i="16" s="1"/>
  <c r="I29" i="16"/>
  <c r="J29" i="16"/>
  <c r="L29" i="16" s="1"/>
  <c r="F100" i="16"/>
  <c r="E92" i="16"/>
  <c r="G88" i="16"/>
  <c r="G87" i="16"/>
  <c r="E87" i="16"/>
  <c r="G86" i="16"/>
  <c r="G85" i="16"/>
  <c r="E85" i="16"/>
  <c r="G84" i="16"/>
  <c r="E84" i="16"/>
  <c r="G83" i="16"/>
  <c r="E83" i="16"/>
  <c r="G82" i="16"/>
  <c r="E82" i="16"/>
  <c r="F79" i="16"/>
  <c r="E79" i="16"/>
  <c r="E75" i="16"/>
  <c r="E74" i="16"/>
  <c r="E73" i="16"/>
  <c r="E72" i="16"/>
  <c r="L69" i="16"/>
  <c r="I68" i="16"/>
  <c r="Q67" i="16"/>
  <c r="I66" i="16"/>
  <c r="I58" i="16"/>
  <c r="I57" i="16"/>
  <c r="L56" i="16"/>
  <c r="J56" i="16"/>
  <c r="K56" i="16" s="1"/>
  <c r="L57" i="16" s="1"/>
  <c r="E50" i="16"/>
  <c r="I50" i="16" s="1"/>
  <c r="F49" i="16"/>
  <c r="F47" i="16"/>
  <c r="F46" i="16"/>
  <c r="F45" i="16"/>
  <c r="F44" i="16"/>
  <c r="I42" i="16"/>
  <c r="F42" i="16"/>
  <c r="F41" i="16"/>
  <c r="C41" i="16"/>
  <c r="I41" i="16" s="1"/>
  <c r="F40" i="16"/>
  <c r="C40" i="16"/>
  <c r="I40" i="16" s="1"/>
  <c r="F39" i="16"/>
  <c r="C39" i="16"/>
  <c r="I39" i="16" s="1"/>
  <c r="E38" i="16"/>
  <c r="E78" i="16" s="1"/>
  <c r="I37" i="16"/>
  <c r="F37" i="16"/>
  <c r="E36" i="16"/>
  <c r="F36" i="16" s="1"/>
  <c r="C36" i="16"/>
  <c r="I36" i="16" s="1"/>
  <c r="E35" i="16"/>
  <c r="F35" i="16" s="1"/>
  <c r="C35" i="16"/>
  <c r="I35" i="16" s="1"/>
  <c r="I34" i="16"/>
  <c r="I33" i="16" s="1"/>
  <c r="E34" i="16"/>
  <c r="F34" i="16" s="1"/>
  <c r="C34" i="16"/>
  <c r="I30" i="16"/>
  <c r="K30" i="16" s="1"/>
  <c r="F30" i="16"/>
  <c r="J30" i="16" s="1"/>
  <c r="L30" i="16" s="1"/>
  <c r="F29" i="16"/>
  <c r="E28" i="16"/>
  <c r="F28" i="16" s="1"/>
  <c r="F27" i="16"/>
  <c r="J27" i="16" s="1"/>
  <c r="L27" i="16" s="1"/>
  <c r="I26" i="16"/>
  <c r="K26" i="16" s="1"/>
  <c r="F26" i="16"/>
  <c r="J26" i="16" s="1"/>
  <c r="L26" i="16" s="1"/>
  <c r="I25" i="16"/>
  <c r="K25" i="16" s="1"/>
  <c r="F25" i="16"/>
  <c r="J25" i="16" s="1"/>
  <c r="F23" i="16"/>
  <c r="C23" i="16"/>
  <c r="I23" i="16" s="1"/>
  <c r="K22" i="16"/>
  <c r="J22" i="16"/>
  <c r="L22" i="16" s="1"/>
  <c r="F22" i="16"/>
  <c r="F21" i="16"/>
  <c r="C21" i="16"/>
  <c r="I21" i="16" s="1"/>
  <c r="F20" i="16"/>
  <c r="C20" i="16"/>
  <c r="I20" i="16" s="1"/>
  <c r="I19" i="16"/>
  <c r="K19" i="16" s="1"/>
  <c r="F19" i="16"/>
  <c r="C19" i="16"/>
  <c r="F18" i="16"/>
  <c r="C18" i="16"/>
  <c r="I18" i="16" s="1"/>
  <c r="F17" i="16"/>
  <c r="C17" i="16"/>
  <c r="I17" i="16" s="1"/>
  <c r="F16" i="16"/>
  <c r="C16" i="16"/>
  <c r="I16" i="16" s="1"/>
  <c r="F15" i="16"/>
  <c r="C15" i="16"/>
  <c r="I15" i="16" s="1"/>
  <c r="E14" i="16"/>
  <c r="E24" i="16" s="1"/>
  <c r="I13" i="16"/>
  <c r="E13" i="16"/>
  <c r="F13" i="16" s="1"/>
  <c r="E12" i="16"/>
  <c r="F12" i="16" s="1"/>
  <c r="C12" i="16"/>
  <c r="C11" i="16" s="1"/>
  <c r="D11" i="16" s="1"/>
  <c r="F11" i="16"/>
  <c r="C10" i="16"/>
  <c r="I10" i="16" s="1"/>
  <c r="C9" i="16"/>
  <c r="I9" i="16" s="1"/>
  <c r="E8" i="16"/>
  <c r="C8" i="16"/>
  <c r="I8" i="16" s="1"/>
  <c r="I7" i="16" s="1"/>
  <c r="F7" i="16"/>
  <c r="F6" i="16"/>
  <c r="C6" i="16"/>
  <c r="I6" i="16" s="1"/>
  <c r="F5" i="16"/>
  <c r="G58" i="7"/>
  <c r="G54" i="7"/>
  <c r="H54" i="7" s="1"/>
  <c r="G53" i="7"/>
  <c r="G52" i="7" s="1"/>
  <c r="H52" i="7" s="1"/>
  <c r="C52" i="7"/>
  <c r="G51" i="7"/>
  <c r="H51" i="7" s="1"/>
  <c r="G50" i="7"/>
  <c r="H50" i="7" s="1"/>
  <c r="G49" i="7"/>
  <c r="H49" i="7" s="1"/>
  <c r="G48" i="7"/>
  <c r="H48" i="7" s="1"/>
  <c r="G47" i="7"/>
  <c r="H47" i="7" s="1"/>
  <c r="G46" i="7"/>
  <c r="G45" i="7"/>
  <c r="H45" i="7" s="1"/>
  <c r="G44" i="7"/>
  <c r="H44" i="7" s="1"/>
  <c r="G43" i="7"/>
  <c r="H43" i="7" s="1"/>
  <c r="G42" i="7"/>
  <c r="H42" i="7" s="1"/>
  <c r="G41" i="7"/>
  <c r="H41" i="7" s="1"/>
  <c r="C39" i="7"/>
  <c r="C55" i="7" s="1"/>
  <c r="G38" i="7"/>
  <c r="H38" i="7" s="1"/>
  <c r="G37" i="7"/>
  <c r="H37" i="7" s="1"/>
  <c r="C36" i="7"/>
  <c r="C56" i="7" s="1"/>
  <c r="C59" i="7" s="1"/>
  <c r="C35" i="7"/>
  <c r="G34" i="7"/>
  <c r="H34" i="7" s="1"/>
  <c r="G33" i="7"/>
  <c r="G32" i="7" s="1"/>
  <c r="C32" i="7"/>
  <c r="G31" i="7"/>
  <c r="H31" i="7" s="1"/>
  <c r="G30" i="7"/>
  <c r="H30" i="7" s="1"/>
  <c r="G29" i="7"/>
  <c r="H29" i="7" s="1"/>
  <c r="G28" i="7"/>
  <c r="H28" i="7" s="1"/>
  <c r="G27" i="7"/>
  <c r="H27" i="7" s="1"/>
  <c r="G26" i="7"/>
  <c r="H26" i="7" s="1"/>
  <c r="G25" i="7"/>
  <c r="H25" i="7" s="1"/>
  <c r="G24" i="7"/>
  <c r="H24" i="7" s="1"/>
  <c r="G23" i="7"/>
  <c r="H23" i="7" s="1"/>
  <c r="G22" i="7"/>
  <c r="H22" i="7" s="1"/>
  <c r="G21" i="7"/>
  <c r="H21" i="7" s="1"/>
  <c r="G20" i="7"/>
  <c r="H20" i="7" s="1"/>
  <c r="C18" i="7"/>
  <c r="G17" i="7"/>
  <c r="H17" i="7" s="1"/>
  <c r="G16" i="7"/>
  <c r="H16" i="7" s="1"/>
  <c r="G15" i="7"/>
  <c r="H15" i="7" s="1"/>
  <c r="G14" i="7"/>
  <c r="H14" i="7" s="1"/>
  <c r="G13" i="7"/>
  <c r="H13" i="7" s="1"/>
  <c r="G12" i="7"/>
  <c r="H12" i="7" s="1"/>
  <c r="G11" i="7"/>
  <c r="H11" i="7" s="1"/>
  <c r="C10" i="7"/>
  <c r="G9" i="7"/>
  <c r="H9" i="7" s="1"/>
  <c r="G7" i="7"/>
  <c r="H7" i="7" s="1"/>
  <c r="G6" i="7"/>
  <c r="C5" i="7"/>
  <c r="M6" i="13" l="1"/>
  <c r="M52" i="13" s="1"/>
  <c r="M117" i="11"/>
  <c r="N117" i="11" s="1"/>
  <c r="N81" i="11"/>
  <c r="M118" i="11"/>
  <c r="M124" i="11" s="1"/>
  <c r="M80" i="11"/>
  <c r="N66" i="10"/>
  <c r="M98" i="10"/>
  <c r="N98" i="10" s="1"/>
  <c r="N8" i="11"/>
  <c r="N73" i="11"/>
  <c r="N6" i="10"/>
  <c r="M5" i="10"/>
  <c r="M64" i="13"/>
  <c r="N54" i="13"/>
  <c r="N6" i="13"/>
  <c r="N52" i="13" s="1"/>
  <c r="C52" i="13"/>
  <c r="C64" i="13" s="1"/>
  <c r="I27" i="16"/>
  <c r="K27" i="16" s="1"/>
  <c r="K29" i="16"/>
  <c r="K7" i="16"/>
  <c r="J7" i="16"/>
  <c r="F73" i="16"/>
  <c r="K23" i="16"/>
  <c r="J23" i="16"/>
  <c r="L23" i="16" s="1"/>
  <c r="K18" i="16"/>
  <c r="J18" i="16"/>
  <c r="L18" i="16" s="1"/>
  <c r="K33" i="16"/>
  <c r="J33" i="16"/>
  <c r="F77" i="16"/>
  <c r="J20" i="16"/>
  <c r="L20" i="16" s="1"/>
  <c r="K20" i="16"/>
  <c r="E31" i="16"/>
  <c r="F24" i="16"/>
  <c r="E76" i="16"/>
  <c r="L28" i="16"/>
  <c r="J15" i="16"/>
  <c r="L15" i="16" s="1"/>
  <c r="K15" i="16"/>
  <c r="I14" i="16"/>
  <c r="F72" i="16"/>
  <c r="J6" i="16"/>
  <c r="K6" i="16"/>
  <c r="I38" i="16"/>
  <c r="K16" i="16"/>
  <c r="J16" i="16"/>
  <c r="L16" i="16" s="1"/>
  <c r="K17" i="16"/>
  <c r="J17" i="16"/>
  <c r="L17" i="16" s="1"/>
  <c r="L25" i="16"/>
  <c r="F87" i="16"/>
  <c r="J21" i="16"/>
  <c r="L21" i="16" s="1"/>
  <c r="K21" i="16"/>
  <c r="E33" i="16"/>
  <c r="I12" i="16"/>
  <c r="F14" i="16"/>
  <c r="E86" i="16" s="1"/>
  <c r="F38" i="16"/>
  <c r="K28" i="16"/>
  <c r="J19" i="16"/>
  <c r="L19" i="16" s="1"/>
  <c r="F50" i="16"/>
  <c r="G39" i="7"/>
  <c r="G36" i="7"/>
  <c r="H36" i="7" s="1"/>
  <c r="G18" i="7"/>
  <c r="H18" i="7" s="1"/>
  <c r="H39" i="7"/>
  <c r="H32" i="7"/>
  <c r="H46" i="7"/>
  <c r="H6" i="7"/>
  <c r="H33" i="7"/>
  <c r="G8" i="7" a="1"/>
  <c r="G8" i="7" s="1"/>
  <c r="H8" i="7" s="1"/>
  <c r="G10" i="7"/>
  <c r="H10" i="7" s="1"/>
  <c r="H53" i="7"/>
  <c r="N64" i="13" l="1"/>
  <c r="M65" i="10"/>
  <c r="M99" i="10"/>
  <c r="M105" i="10" s="1"/>
  <c r="N5" i="11"/>
  <c r="N5" i="10"/>
  <c r="K38" i="16"/>
  <c r="F78" i="16"/>
  <c r="J38" i="16"/>
  <c r="L38" i="16" s="1"/>
  <c r="I11" i="16"/>
  <c r="K11" i="16"/>
  <c r="F83" i="16"/>
  <c r="L6" i="16"/>
  <c r="G54" i="16"/>
  <c r="F33" i="16"/>
  <c r="L33" i="16" s="1"/>
  <c r="I64" i="16"/>
  <c r="E32" i="16"/>
  <c r="E77" i="16"/>
  <c r="I32" i="16"/>
  <c r="F75" i="16"/>
  <c r="K14" i="16"/>
  <c r="J14" i="16"/>
  <c r="L7" i="16"/>
  <c r="F84" i="16"/>
  <c r="F51" i="16"/>
  <c r="E93" i="16" s="1"/>
  <c r="J50" i="16"/>
  <c r="I59" i="16"/>
  <c r="I60" i="16" s="1"/>
  <c r="I31" i="16"/>
  <c r="F31" i="16"/>
  <c r="J31" i="16" s="1"/>
  <c r="G55" i="7"/>
  <c r="H55" i="7" s="1"/>
  <c r="G5" i="7"/>
  <c r="N99" i="10" l="1"/>
  <c r="N65" i="10"/>
  <c r="N118" i="11"/>
  <c r="N80" i="11"/>
  <c r="L31" i="16"/>
  <c r="J24" i="16"/>
  <c r="L14" i="16"/>
  <c r="F86" i="16"/>
  <c r="F74" i="16"/>
  <c r="J11" i="16"/>
  <c r="J32" i="16"/>
  <c r="K32" i="16"/>
  <c r="I24" i="16"/>
  <c r="K31" i="16"/>
  <c r="E43" i="16"/>
  <c r="F32" i="16"/>
  <c r="E88" i="16" s="1"/>
  <c r="G56" i="7"/>
  <c r="G59" i="7" s="1"/>
  <c r="H5" i="7"/>
  <c r="H56" i="7" s="1"/>
  <c r="G35" i="7"/>
  <c r="H35" i="7" s="1"/>
  <c r="K24" i="16" l="1"/>
  <c r="F76" i="16"/>
  <c r="L32" i="16"/>
  <c r="F88" i="16"/>
  <c r="I5" i="16"/>
  <c r="F85" i="16"/>
  <c r="L11" i="16"/>
  <c r="L24" i="16"/>
  <c r="J49" i="16"/>
  <c r="L49" i="16" s="1"/>
  <c r="I43" i="16"/>
  <c r="F43" i="16"/>
  <c r="J43" i="16" s="1"/>
  <c r="L43" i="16" s="1"/>
  <c r="E80" i="16"/>
  <c r="E48" i="16"/>
  <c r="F48" i="16" s="1"/>
  <c r="M138" i="6"/>
  <c r="M134" i="6"/>
  <c r="N134" i="6" s="1"/>
  <c r="M133" i="6"/>
  <c r="N133" i="6" s="1"/>
  <c r="M132" i="6"/>
  <c r="M130" i="6"/>
  <c r="N130" i="6" s="1"/>
  <c r="C129" i="6"/>
  <c r="M128" i="6"/>
  <c r="N128" i="6" s="1"/>
  <c r="M127" i="6"/>
  <c r="N127" i="6" s="1"/>
  <c r="M126" i="6"/>
  <c r="N126" i="6" s="1"/>
  <c r="M125" i="6"/>
  <c r="N125" i="6" s="1"/>
  <c r="M124" i="6"/>
  <c r="N124" i="6" s="1"/>
  <c r="M123" i="6"/>
  <c r="N123" i="6" s="1"/>
  <c r="M122" i="6"/>
  <c r="N122" i="6" s="1"/>
  <c r="M121" i="6"/>
  <c r="N121" i="6" s="1"/>
  <c r="M120" i="6"/>
  <c r="N120" i="6" s="1"/>
  <c r="M119" i="6"/>
  <c r="N119" i="6" s="1"/>
  <c r="M118" i="6"/>
  <c r="C116" i="6"/>
  <c r="M115" i="6"/>
  <c r="N115" i="6" s="1"/>
  <c r="M114" i="6"/>
  <c r="N114" i="6" s="1"/>
  <c r="M113" i="6"/>
  <c r="N113" i="6" s="1"/>
  <c r="M112" i="6"/>
  <c r="N112" i="6" s="1"/>
  <c r="M111" i="6"/>
  <c r="N111" i="6" s="1"/>
  <c r="M110" i="6"/>
  <c r="N110" i="6" s="1"/>
  <c r="M109" i="6"/>
  <c r="N109" i="6" s="1"/>
  <c r="C108" i="6"/>
  <c r="M106" i="6"/>
  <c r="N106" i="6" s="1"/>
  <c r="M105" i="6"/>
  <c r="M104" i="6" s="1"/>
  <c r="C104" i="6"/>
  <c r="M103" i="6"/>
  <c r="N103" i="6" s="1"/>
  <c r="M102" i="6"/>
  <c r="N102" i="6" s="1"/>
  <c r="C101" i="6"/>
  <c r="M100" i="6"/>
  <c r="N100" i="6" s="1"/>
  <c r="M99" i="6"/>
  <c r="N99" i="6" s="1"/>
  <c r="M98" i="6"/>
  <c r="N98" i="6" s="1"/>
  <c r="M97" i="6"/>
  <c r="N97" i="6" s="1"/>
  <c r="M96" i="6"/>
  <c r="N96" i="6" s="1"/>
  <c r="M95" i="6"/>
  <c r="N95" i="6" s="1"/>
  <c r="M94" i="6"/>
  <c r="N94" i="6" s="1"/>
  <c r="M93" i="6"/>
  <c r="N93" i="6" s="1"/>
  <c r="M92" i="6"/>
  <c r="N92" i="6" s="1"/>
  <c r="M91" i="6"/>
  <c r="N91" i="6" s="1"/>
  <c r="M90" i="6"/>
  <c r="N90" i="6" s="1"/>
  <c r="M89" i="6"/>
  <c r="N89" i="6" s="1"/>
  <c r="M88" i="6"/>
  <c r="N88" i="6" s="1"/>
  <c r="M87" i="6"/>
  <c r="N87" i="6" s="1"/>
  <c r="G87" i="6"/>
  <c r="C86" i="6"/>
  <c r="M86" i="6" s="1"/>
  <c r="N86" i="6" s="1"/>
  <c r="M85" i="6"/>
  <c r="N85" i="6" s="1"/>
  <c r="M84" i="6"/>
  <c r="N84" i="6" s="1"/>
  <c r="E84" i="6"/>
  <c r="M83" i="6"/>
  <c r="N83" i="6" s="1"/>
  <c r="M82" i="6"/>
  <c r="N82" i="6" s="1"/>
  <c r="M81" i="6"/>
  <c r="N81" i="6" s="1"/>
  <c r="M80" i="6"/>
  <c r="N80" i="6" s="1"/>
  <c r="M79" i="6"/>
  <c r="N79" i="6" s="1"/>
  <c r="M78" i="6"/>
  <c r="N78" i="6" s="1"/>
  <c r="M77" i="6"/>
  <c r="N77" i="6" s="1"/>
  <c r="M75" i="6"/>
  <c r="N75" i="6" s="1"/>
  <c r="M74" i="6"/>
  <c r="N74" i="6" s="1"/>
  <c r="M73" i="6"/>
  <c r="N73" i="6" s="1"/>
  <c r="M72" i="6"/>
  <c r="N72" i="6" s="1"/>
  <c r="M71" i="6"/>
  <c r="N71" i="6" s="1"/>
  <c r="M70" i="6"/>
  <c r="N70" i="6" s="1"/>
  <c r="M69" i="6"/>
  <c r="N69" i="6" s="1"/>
  <c r="C66" i="6"/>
  <c r="M66" i="6" s="1"/>
  <c r="N66" i="6" s="1"/>
  <c r="M65" i="6"/>
  <c r="N65" i="6" s="1"/>
  <c r="M63" i="6"/>
  <c r="N63" i="6" s="1"/>
  <c r="M62" i="6"/>
  <c r="N62" i="6" s="1"/>
  <c r="M61" i="6"/>
  <c r="N61" i="6" s="1"/>
  <c r="M60" i="6"/>
  <c r="N60" i="6" s="1"/>
  <c r="M59" i="6"/>
  <c r="N59" i="6" s="1"/>
  <c r="M58" i="6"/>
  <c r="N58" i="6" s="1"/>
  <c r="M57" i="6"/>
  <c r="N57" i="6" s="1"/>
  <c r="M56" i="6"/>
  <c r="N56" i="6" s="1"/>
  <c r="M54" i="6"/>
  <c r="N54" i="6" s="1"/>
  <c r="M53" i="6"/>
  <c r="N53" i="6" s="1"/>
  <c r="M52" i="6"/>
  <c r="N52" i="6" s="1"/>
  <c r="M50" i="6"/>
  <c r="N50" i="6" s="1"/>
  <c r="M49" i="6"/>
  <c r="N49" i="6" s="1"/>
  <c r="M48" i="6"/>
  <c r="N48" i="6" s="1"/>
  <c r="M47" i="6"/>
  <c r="N47" i="6" s="1"/>
  <c r="M46" i="6"/>
  <c r="N46" i="6" s="1"/>
  <c r="M44" i="6"/>
  <c r="N44" i="6" s="1"/>
  <c r="M43" i="6"/>
  <c r="N43" i="6" s="1"/>
  <c r="M42" i="6"/>
  <c r="N42" i="6" s="1"/>
  <c r="M41" i="6"/>
  <c r="N41" i="6" s="1"/>
  <c r="M39" i="6"/>
  <c r="N39" i="6" s="1"/>
  <c r="M38" i="6"/>
  <c r="N38" i="6" s="1"/>
  <c r="G38" i="6"/>
  <c r="M37" i="6"/>
  <c r="N37" i="6" s="1"/>
  <c r="G37" i="6"/>
  <c r="M36" i="6"/>
  <c r="N36" i="6" s="1"/>
  <c r="G36" i="6"/>
  <c r="M35" i="6"/>
  <c r="N35" i="6" s="1"/>
  <c r="G35" i="6"/>
  <c r="M34" i="6"/>
  <c r="N34" i="6" s="1"/>
  <c r="G34" i="6"/>
  <c r="M33" i="6"/>
  <c r="N33" i="6" s="1"/>
  <c r="G33" i="6"/>
  <c r="M32" i="6"/>
  <c r="N32" i="6" s="1"/>
  <c r="G32" i="6"/>
  <c r="M29" i="6"/>
  <c r="N29" i="6" s="1"/>
  <c r="M28" i="6"/>
  <c r="N28" i="6" s="1"/>
  <c r="M27" i="6"/>
  <c r="N27" i="6" s="1"/>
  <c r="M26" i="6"/>
  <c r="N26" i="6" s="1"/>
  <c r="M25" i="6"/>
  <c r="N25" i="6" s="1"/>
  <c r="M24" i="6"/>
  <c r="N24" i="6" s="1"/>
  <c r="M23" i="6"/>
  <c r="N23" i="6" s="1"/>
  <c r="M22" i="6"/>
  <c r="N22" i="6" s="1"/>
  <c r="M21" i="6"/>
  <c r="N21" i="6" s="1"/>
  <c r="M20" i="6"/>
  <c r="N20" i="6" s="1"/>
  <c r="M19" i="6"/>
  <c r="N19" i="6" s="1"/>
  <c r="M18" i="6"/>
  <c r="N18" i="6" s="1"/>
  <c r="M17" i="6"/>
  <c r="N17" i="6" s="1"/>
  <c r="M16" i="6"/>
  <c r="N16" i="6" s="1"/>
  <c r="M15" i="6"/>
  <c r="N15" i="6" s="1"/>
  <c r="M14" i="6"/>
  <c r="N14" i="6" s="1"/>
  <c r="C13" i="6"/>
  <c r="M12" i="6"/>
  <c r="N12" i="6" s="1"/>
  <c r="M10" i="6"/>
  <c r="N10" i="6" s="1"/>
  <c r="M9" i="6"/>
  <c r="N9" i="6" s="1"/>
  <c r="G9" i="6"/>
  <c r="M8" i="6"/>
  <c r="G8" i="6"/>
  <c r="M7" i="6"/>
  <c r="N7" i="6" s="1"/>
  <c r="G7" i="6"/>
  <c r="M6" i="6"/>
  <c r="N6" i="6" s="1"/>
  <c r="G6" i="6"/>
  <c r="C5" i="6"/>
  <c r="K43" i="16" l="1"/>
  <c r="F80" i="16"/>
  <c r="K5" i="16"/>
  <c r="J5" i="16"/>
  <c r="I49" i="16"/>
  <c r="C135" i="6"/>
  <c r="M101" i="6"/>
  <c r="N101" i="6" s="1"/>
  <c r="M13" i="6"/>
  <c r="N13" i="6" s="1"/>
  <c r="M116" i="6"/>
  <c r="N116" i="6" s="1"/>
  <c r="M129" i="6"/>
  <c r="N129" i="6" s="1"/>
  <c r="N132" i="6"/>
  <c r="M108" i="6"/>
  <c r="N108" i="6" s="1"/>
  <c r="M11" i="6" a="1"/>
  <c r="M11" i="6" s="1"/>
  <c r="N11" i="6" s="1"/>
  <c r="N104" i="6"/>
  <c r="M30" i="6"/>
  <c r="N30" i="6" s="1"/>
  <c r="C67" i="6"/>
  <c r="C136" i="6" s="1"/>
  <c r="C139" i="6" s="1"/>
  <c r="N118" i="6"/>
  <c r="M67" i="6"/>
  <c r="N105" i="6"/>
  <c r="N8" i="6"/>
  <c r="K49" i="16" l="1"/>
  <c r="I51" i="16"/>
  <c r="L5" i="16"/>
  <c r="F82" i="16"/>
  <c r="N67" i="6"/>
  <c r="M5" i="6"/>
  <c r="N5" i="6" s="1"/>
  <c r="M135" i="6"/>
  <c r="N135" i="6" s="1"/>
  <c r="C107" i="6"/>
  <c r="J51" i="16" l="1"/>
  <c r="F93" i="16" s="1"/>
  <c r="F92" i="16"/>
  <c r="N136" i="6"/>
  <c r="M136" i="6"/>
  <c r="M139" i="6" s="1"/>
  <c r="M107" i="6"/>
  <c r="N107"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<sst xmlns="http://schemas.openxmlformats.org/spreadsheetml/2006/main" count="1262" uniqueCount="491">
  <si>
    <t>Kalkulačka veřejných příjmů a výdajů</t>
  </si>
  <si>
    <t>Obsah</t>
  </si>
  <si>
    <t>1)</t>
  </si>
  <si>
    <t>a) Komentář ke kalkulačce veřejných příjmů</t>
  </si>
  <si>
    <t>2)</t>
  </si>
  <si>
    <t>a) Komentář ke kalkulačce výdajů státního rozpočtu</t>
  </si>
  <si>
    <t>3)</t>
  </si>
  <si>
    <t>a) Komentář ke kalkulačce výdajů státních fondů</t>
  </si>
  <si>
    <t>4)</t>
  </si>
  <si>
    <t>5)</t>
  </si>
  <si>
    <t>a) Komentář ke kalkulačce veřejných zdravotních pojišťoven</t>
  </si>
  <si>
    <t>Komentář ke kalkulačce veřejných příjmů</t>
  </si>
  <si>
    <r>
      <t>„</t>
    </r>
    <r>
      <rPr>
        <b/>
        <sz val="12"/>
        <rFont val="Arial"/>
        <family val="2"/>
        <charset val="238"/>
      </rPr>
      <t>Kalkulačka veřejných příjmů</t>
    </r>
    <r>
      <rPr>
        <sz val="12"/>
        <rFont val="Arial"/>
        <family val="2"/>
        <charset val="238"/>
      </rPr>
      <t xml:space="preserve">“ (na následujícím listě) je nástrojem, který umožňuje rámcově simulovat fiskální dopady změn v nastavení hlavních parametrů nejvýznamnějších veřejných příjmů, tj. daní/pojistného v České republice. Jeho účelem je přispět k racionalizaci debaty o případných úpravách daňového mixu v České republice, kterou vysoké deficity veřejných financí pravděpodobně vyvolají. </t>
    </r>
  </si>
  <si>
    <t>Nástroj není určen k přesné predikci příjmů při alternativním nastavení daňového mixu, nýbrž k ilustraci potenciálu změn v daňových/pojistných sazbách řešit současnou fiskální nerovnováhu. Z tohoto důvodu také kalkulačka obsahuje řadu modelových zjednodušení, mezi ty hlavní patří:</t>
  </si>
  <si>
    <t>Změny v daňových výnosech jsou kalkulovány staticky a nezohledňují tak případné dynamické reakce ekonomických subjektů, které by mohly ovlivnit velikost daňových základů. Odhadovat tyto reakce je velmi komplikované, neboť neexistuje dostatek studií s kvalitními odhady elasticit daňových základů na výši sazeb. Zatímco při malých změnách daňových sazeb bude vliv dynamického přizpůsobování velmi omezený, při velkých změnách již může být zkreslení významné.</t>
  </si>
  <si>
    <t>Výnos spotřební daně z minerálních olejů je dominantně tvořen výnosy spotřební daně z pohonných hmot, a proto je tato položka modelována na základě efektivní sazby daně z benzínu a motorové nafty. Ke stejnému zjednodušení bylo přistoupeno v případě spotřební daně z tabákových výrobků, kde je výnos daně dominantně tvořen spotřební daní z cigaret.</t>
  </si>
  <si>
    <t>Dále je třeba poznamenat, že platba za státní pojištěnce je v akruálním výkaznictví rozpočtově neutrální položkou, která je zanesena na příjmové i výdajové straně zároveň.</t>
  </si>
  <si>
    <t>Jak „Kalkulačku veřejných příjmů" používat?</t>
  </si>
  <si>
    <t>Jsme si vědomi, že konsolidaci veřejných financí na příjmové straně není možné redukovat pouze na úpravu sazeb a podobných parametrů. Tento nástroj tudíž neaspiruje na kompletní „kalkulačku“ příjmů veřejných rozpočtů, nýbrž umožňuje rámcově simulovat očekávané fiskální dopady změn v nastavení základních parametrů nejvýznamnějších daní/pojistného v České republice.</t>
  </si>
  <si>
    <t>Poznámky:</t>
  </si>
  <si>
    <t>Zkratky:</t>
  </si>
  <si>
    <t>DPPO - daň z příjmů právnických osob</t>
  </si>
  <si>
    <t>DPFO - daň z příjmů fyzických osob</t>
  </si>
  <si>
    <t>OSVČ - osoba samostatně výdělečně činná</t>
  </si>
  <si>
    <t>SKRÝT SLOUPEC</t>
  </si>
  <si>
    <t>ZABARVIT BÍLE VŠECHNY HODNOTY KTERÉ MAJÍ ZŮSTAT SKRYTÉ</t>
  </si>
  <si>
    <t>Alternativní daňový mix</t>
  </si>
  <si>
    <t>Rozdíly</t>
  </si>
  <si>
    <r>
      <t xml:space="preserve">Daňový základ </t>
    </r>
    <r>
      <rPr>
        <sz val="12"/>
        <rFont val="Arial"/>
        <family val="2"/>
        <charset val="238"/>
      </rPr>
      <t>(mld. Kč; kusy cigaret; litry PMH)</t>
    </r>
  </si>
  <si>
    <t>Současná sazba daně</t>
  </si>
  <si>
    <r>
      <t xml:space="preserve">Současný výnos </t>
    </r>
    <r>
      <rPr>
        <sz val="12"/>
        <color theme="1"/>
        <rFont val="Arial"/>
        <family val="2"/>
        <charset val="238"/>
      </rPr>
      <t>(mld. Kč)</t>
    </r>
  </si>
  <si>
    <r>
      <t xml:space="preserve">Současný výnos </t>
    </r>
    <r>
      <rPr>
        <sz val="12"/>
        <color theme="1"/>
        <rFont val="Arial"/>
        <family val="2"/>
        <charset val="238"/>
      </rPr>
      <t>(% HDP)</t>
    </r>
  </si>
  <si>
    <t>Alternativní sazba daně</t>
  </si>
  <si>
    <r>
      <t xml:space="preserve">Alternativní výnos </t>
    </r>
    <r>
      <rPr>
        <sz val="12"/>
        <color theme="1"/>
        <rFont val="Arial"/>
        <family val="2"/>
        <charset val="238"/>
      </rPr>
      <t>(mld. Kč)</t>
    </r>
  </si>
  <si>
    <r>
      <t>Alternativní výnos</t>
    </r>
    <r>
      <rPr>
        <sz val="12"/>
        <color theme="1"/>
        <rFont val="Arial"/>
        <family val="2"/>
        <charset val="238"/>
      </rPr>
      <t xml:space="preserve"> (% HDP)</t>
    </r>
  </si>
  <si>
    <r>
      <t xml:space="preserve">Rozdíl výnosů </t>
    </r>
    <r>
      <rPr>
        <sz val="12"/>
        <color theme="1"/>
        <rFont val="Arial"/>
        <family val="2"/>
        <charset val="238"/>
      </rPr>
      <t>(mld. Kč)</t>
    </r>
  </si>
  <si>
    <r>
      <t>Rozdíl výnosů</t>
    </r>
    <r>
      <rPr>
        <sz val="12"/>
        <color theme="1"/>
        <rFont val="Arial"/>
        <family val="2"/>
        <charset val="238"/>
      </rPr>
      <t xml:space="preserve"> (% HDP)</t>
    </r>
  </si>
  <si>
    <t>DAŇOVÉ PŘÍJMY</t>
  </si>
  <si>
    <t>DPPO **</t>
  </si>
  <si>
    <t>DPFO</t>
  </si>
  <si>
    <t>první sazba</t>
  </si>
  <si>
    <t>-</t>
  </si>
  <si>
    <t>druhá sazba</t>
  </si>
  <si>
    <t>sleva na poplatníka</t>
  </si>
  <si>
    <t>DPH</t>
  </si>
  <si>
    <t>základní sazba</t>
  </si>
  <si>
    <t>snížená sazba</t>
  </si>
  <si>
    <t>SPOTŘEBNÍ DANĚ</t>
  </si>
  <si>
    <t>z minerálních olejů (benzín a nafta)</t>
  </si>
  <si>
    <t>z tabákových výrobků (cigarety)</t>
  </si>
  <si>
    <t>OSTATNÍ DANĚ A POPLATKY</t>
  </si>
  <si>
    <t>dopočet do celku</t>
  </si>
  <si>
    <t>daň z nemovitých věcí</t>
  </si>
  <si>
    <t>daň z hazardních her</t>
  </si>
  <si>
    <t>SOCIÁLNÍ PŘÍSPĚVKY</t>
  </si>
  <si>
    <t>POJISTNÉ NA SOC. ZABEZPEČENÍ</t>
  </si>
  <si>
    <t>zaměstnanci</t>
  </si>
  <si>
    <t>zaměstnavatelé</t>
  </si>
  <si>
    <t>OSVČ</t>
  </si>
  <si>
    <t>ZDRAVOTNÍ POJIŠTĚNÍ</t>
  </si>
  <si>
    <t xml:space="preserve">OSTATNÍ PŘÍJMY </t>
  </si>
  <si>
    <t>PŘÍJMY CELKEM</t>
  </si>
  <si>
    <t>VÝDAJE CELKEM</t>
  </si>
  <si>
    <t>SALDO</t>
  </si>
  <si>
    <t>Plánované</t>
  </si>
  <si>
    <t>Alternativní</t>
  </si>
  <si>
    <t>Zdravotní pojištění</t>
  </si>
  <si>
    <t>Sazba na cigarety</t>
  </si>
  <si>
    <t>Efektivní sazba na minerální oleje</t>
  </si>
  <si>
    <t>Příjmy</t>
  </si>
  <si>
    <t>Celkové výdaje</t>
  </si>
  <si>
    <t>Výdaje</t>
  </si>
  <si>
    <t>Saldo</t>
  </si>
  <si>
    <t>Zaměstnavatelé</t>
  </si>
  <si>
    <t>SUMA</t>
  </si>
  <si>
    <t>DPPO</t>
  </si>
  <si>
    <t>minerál</t>
  </si>
  <si>
    <t>tabák</t>
  </si>
  <si>
    <t>Spotřební daně</t>
  </si>
  <si>
    <t>ostatní chlast</t>
  </si>
  <si>
    <t>Ostatní daně a poplatky</t>
  </si>
  <si>
    <t>pojistné</t>
  </si>
  <si>
    <t>Pojistné na sociální zabezpečení</t>
  </si>
  <si>
    <t>zdravotní</t>
  </si>
  <si>
    <t>platba za poj</t>
  </si>
  <si>
    <t>Ostatní příjmy</t>
  </si>
  <si>
    <t>ost</t>
  </si>
  <si>
    <t xml:space="preserve">Alternativní </t>
  </si>
  <si>
    <t>vlast</t>
  </si>
  <si>
    <t>Daňové příjmy</t>
  </si>
  <si>
    <t>Zaměstnanci</t>
  </si>
  <si>
    <t>Majetkové daně</t>
  </si>
  <si>
    <t>Sociální příspěvky</t>
  </si>
  <si>
    <t xml:space="preserve">Plánované </t>
  </si>
  <si>
    <t>Komentář ke kalkulačce výdajů státního rozpočtu</t>
  </si>
  <si>
    <r>
      <t>„</t>
    </r>
    <r>
      <rPr>
        <b/>
        <sz val="12"/>
        <rFont val="Arial"/>
        <family val="2"/>
        <charset val="238"/>
      </rPr>
      <t>Kalkulačka výdajů státního rozpočtu</t>
    </r>
    <r>
      <rPr>
        <sz val="12"/>
        <rFont val="Arial"/>
        <family val="2"/>
        <charset val="238"/>
      </rPr>
      <t xml:space="preserve">“ (viz následující list) je nástrojem, který umožňuje ve zjednodušené podobě vytvořit alternativní návrh výdajové strany státního rozpočtu. Jeho účelem je přispět k racionalizaci debaty o úpravách výdajové strany státního rozpočtu, kterou vysoké deficity veřejných financí pravděpodobně vyvolají. </t>
    </r>
  </si>
  <si>
    <t xml:space="preserve">Ve většině výdajových položek je aplikována přírůstková (inkrementální) metoda, kdy je možné zadat procentuální změnu. U některých položek je možné úpravu provádět prostřednictvím změn jiných parametrů, jako je například počet příjemců vybrané sociální dávky, nebo její průměrná výše. </t>
  </si>
  <si>
    <t>Současné hodnoty vybraných parametrů (jako například počty zaměstnanců, průměrné platy atd.) jsou buď převzaty z relevantních dokumentů [2], nebo jsou dopočteny. Vzhledem k tomu, že v některých případech nejsou k dispozici aktuální data, mohou být skutečné hodnoty mírně odlišné.</t>
  </si>
  <si>
    <t>[1] https://monitor.statnipokladna.cz/.</t>
  </si>
  <si>
    <t>Položka</t>
  </si>
  <si>
    <t>Alternativní návrh</t>
  </si>
  <si>
    <t>Rozdíl v mld. Kč</t>
  </si>
  <si>
    <t>mld. Kč</t>
  </si>
  <si>
    <t>Parametr 1 název</t>
  </si>
  <si>
    <t>Parametr 1 hodnota</t>
  </si>
  <si>
    <t>Parametr 2 název</t>
  </si>
  <si>
    <t>Parametr 2 hodnota</t>
  </si>
  <si>
    <t>Platy a související výdaje</t>
  </si>
  <si>
    <t>Platy zaměstnanců v pracovním poměru vyjma zaměstnanců na služebních místech</t>
  </si>
  <si>
    <t>počet míst</t>
  </si>
  <si>
    <t>průměrný plat</t>
  </si>
  <si>
    <t>Platy zaměstnanců bezpečnostních sborů a ozbrojených sil ve služebním poměru</t>
  </si>
  <si>
    <t>Platy zaměstnanců na služebních místech podle zákona o státní službě</t>
  </si>
  <si>
    <t>Platy zaměstnanců v pracovním poměru odvozované od platů ústavních činitelů</t>
  </si>
  <si>
    <t>Platy představitelů státní moci a některých orgánů</t>
  </si>
  <si>
    <t>zvýšení (+), snížení (-) v %</t>
  </si>
  <si>
    <t>Zákonné pojistné placené zaměstnavatelem</t>
  </si>
  <si>
    <t>Ostatní výdaje související s platy</t>
  </si>
  <si>
    <t>Neinvestiční nákupy</t>
  </si>
  <si>
    <t>Zpracování dat a služby související s informačními a komunikačními technologiemi</t>
  </si>
  <si>
    <t>Léky a zdravotnický materiál</t>
  </si>
  <si>
    <t>Nákup materiálu jinde nezařazený</t>
  </si>
  <si>
    <t>Opravy a udržování</t>
  </si>
  <si>
    <t>Nájemné</t>
  </si>
  <si>
    <t>Ostatní paliva a energie</t>
  </si>
  <si>
    <t>Drobný dlouhodobý hmotný majetek</t>
  </si>
  <si>
    <t>Cestovné</t>
  </si>
  <si>
    <t>Elektrická energie</t>
  </si>
  <si>
    <t>Pohonné hmoty a maziva</t>
  </si>
  <si>
    <t>Poštovní služby</t>
  </si>
  <si>
    <t>Prádlo, oděv a obuv</t>
  </si>
  <si>
    <t>Služby školení a vzdělávání</t>
  </si>
  <si>
    <t>Služby elektronických komunikací</t>
  </si>
  <si>
    <t>Nákup ostatních služeb</t>
  </si>
  <si>
    <t>Ostatní neinvestiční nákupy</t>
  </si>
  <si>
    <t>Sociální dávky a obdobné</t>
  </si>
  <si>
    <t>Důchodové pojištění</t>
  </si>
  <si>
    <t>Starobní důchody</t>
  </si>
  <si>
    <t>počet příjemců</t>
  </si>
  <si>
    <t>průměrný důchod</t>
  </si>
  <si>
    <t>Invalidní důchody pro invaliditu prvního stupně</t>
  </si>
  <si>
    <t>Invalidní důchody pro invaliditu druhého stupně</t>
  </si>
  <si>
    <t>Invalidní důchody pro invaliditu třetího stupně</t>
  </si>
  <si>
    <t>Vdovské důchody</t>
  </si>
  <si>
    <t>Vdovecké důchody</t>
  </si>
  <si>
    <t>Sirotčí důchody</t>
  </si>
  <si>
    <t>Ostatní dávky důchodového pojištění</t>
  </si>
  <si>
    <t>Nemocenské pojištění</t>
  </si>
  <si>
    <t>Nemocenská</t>
  </si>
  <si>
    <t>Ošetřovné</t>
  </si>
  <si>
    <t>Peněžitá pomoc v mateřství</t>
  </si>
  <si>
    <t>Ostatní dávky nemocenského pojištění</t>
  </si>
  <si>
    <t>Státní sociální podpora</t>
  </si>
  <si>
    <t>Přídavek na dítě</t>
  </si>
  <si>
    <t>Rodičovský příspěvek</t>
  </si>
  <si>
    <t>výše dávky</t>
  </si>
  <si>
    <t>Dávky pěstounské péče</t>
  </si>
  <si>
    <t>Příspěvek na bydlení</t>
  </si>
  <si>
    <t>Ostatní dávky státní sociální podpory</t>
  </si>
  <si>
    <t>Hmotná nouze</t>
  </si>
  <si>
    <t>Příspěvek na živobytí</t>
  </si>
  <si>
    <t>Doplatek na bydlení</t>
  </si>
  <si>
    <t>Ostatní dávky hmotné nouze</t>
  </si>
  <si>
    <t>Ostatní dávky</t>
  </si>
  <si>
    <t>Příspěvek na mobilitu</t>
  </si>
  <si>
    <t>Příspěvek na zvláštní pomůcky</t>
  </si>
  <si>
    <t>Příspěvek na péči</t>
  </si>
  <si>
    <t>Náhradní výživné</t>
  </si>
  <si>
    <t>Ostatní sociální dávky</t>
  </si>
  <si>
    <t>Podpory v nezaměstnanosti</t>
  </si>
  <si>
    <t>Odbytné, odchodné a úmrtné</t>
  </si>
  <si>
    <t>Výsluhový příspěvek</t>
  </si>
  <si>
    <t>Jiné</t>
  </si>
  <si>
    <t>Ostatní neinvestiční transfery obyvatelstvu, náhrady</t>
  </si>
  <si>
    <t>Neinvestiční transfery a obdobné</t>
  </si>
  <si>
    <t>Nefinančním podnikatelským subjektům-právnickým osobám do oblasti:</t>
  </si>
  <si>
    <t>Doprava</t>
  </si>
  <si>
    <t>Ochrana životního prostředí</t>
  </si>
  <si>
    <t>Výzkum a vývoj</t>
  </si>
  <si>
    <t>Politika zaměstnanosti</t>
  </si>
  <si>
    <t>Průmysl, stavebnictví, obchod a služby (v tom dotace na OZE 8,5 mld. Kč)</t>
  </si>
  <si>
    <t>Zemědělství, lesní hospodářství a rybářství</t>
  </si>
  <si>
    <t>Ostatní</t>
  </si>
  <si>
    <t>Fundacím, neziskovým organizacím atd. … do oblasti:</t>
  </si>
  <si>
    <t>Kultura, církve a sdělovací prostředky</t>
  </si>
  <si>
    <t>Sociální služby a společné činnosti v sociálním zabezpečení a politice zaměstnanosti</t>
  </si>
  <si>
    <t>Sport a zájmová činnost</t>
  </si>
  <si>
    <t>Vzdělávání a školské služby</t>
  </si>
  <si>
    <t>Platba za státní pojištěnce</t>
  </si>
  <si>
    <t>státních pojištěnců</t>
  </si>
  <si>
    <t>měsíční platba</t>
  </si>
  <si>
    <t>Jiným veřejným rozpočtům</t>
  </si>
  <si>
    <t>Krajům a obcím (bez regionálního školství)</t>
  </si>
  <si>
    <t>Krajům a obcím - prostředky pro regionální školství ÚSC</t>
  </si>
  <si>
    <t>Krajům - prostředky pro regionální školství soukromé</t>
  </si>
  <si>
    <t>Obcím v rámci souhrnného dotačního vztahu</t>
  </si>
  <si>
    <t>Krajům v rámci souhrnného dotačního vztahu</t>
  </si>
  <si>
    <t>Zřízeným příspěvkovým organizacím</t>
  </si>
  <si>
    <t>Vysokým školám</t>
  </si>
  <si>
    <t>Veřejným výzkumným institucím</t>
  </si>
  <si>
    <t>Základní příděl fondu kulturních a sociálních potřeb a sociálnímu fondu obcí a krajů</t>
  </si>
  <si>
    <t>Mezinárodním vládním organizacím</t>
  </si>
  <si>
    <t>Nadnárodním orgánům</t>
  </si>
  <si>
    <t>Odvody vlastních zdrojů Evropské unie do rozpočtu Evropské unie</t>
  </si>
  <si>
    <t>Ostatní převody do Národního fondu</t>
  </si>
  <si>
    <t>Výdaje na náhrady za nezpůsobenou újmu</t>
  </si>
  <si>
    <t>Ostatní výdaje charakteru neinvestičních nákupů, příspěvku a náhrad</t>
  </si>
  <si>
    <t>Další neinvestiční výdaje</t>
  </si>
  <si>
    <t>Nespecifikované rezervy</t>
  </si>
  <si>
    <t>Ostatní neinvestiční výdaje jinde nezařazené</t>
  </si>
  <si>
    <t>Úroky a ostatní finanční výdaje</t>
  </si>
  <si>
    <t>Úroky vlastní</t>
  </si>
  <si>
    <t>CELKEM BĚŽNÉ VÝDAJE</t>
  </si>
  <si>
    <t>Investiční nákupy</t>
  </si>
  <si>
    <t>Programové vybavení</t>
  </si>
  <si>
    <t>Budovy</t>
  </si>
  <si>
    <t>Stroje, přístroje a zařízení</t>
  </si>
  <si>
    <t>Dopravní prostředky</t>
  </si>
  <si>
    <t>Výpočetní technika</t>
  </si>
  <si>
    <t>Nákup majetkových podílů</t>
  </si>
  <si>
    <t>Investiční  transfery</t>
  </si>
  <si>
    <t>Podnikatelským subjektům do oblasti</t>
  </si>
  <si>
    <t>Průmysl, stavebnictví, obchod a služby</t>
  </si>
  <si>
    <t>Neziskovým a podobným organizacím</t>
  </si>
  <si>
    <t>Obcím</t>
  </si>
  <si>
    <t>Ostatním veřejným rozpočtům</t>
  </si>
  <si>
    <t>Ostatní investiční transfery</t>
  </si>
  <si>
    <t>Ostatní kapitálové výdaje</t>
  </si>
  <si>
    <t>Rezervy kapitálových výdajů</t>
  </si>
  <si>
    <t>Územní rozvoj</t>
  </si>
  <si>
    <t>Ekologické záležitosti</t>
  </si>
  <si>
    <t>CELKEM KAPITÁLOVÉ VÝDAJE</t>
  </si>
  <si>
    <t>Komentář ke kalkulačce výdajů státních fondů</t>
  </si>
  <si>
    <r>
      <t>„</t>
    </r>
    <r>
      <rPr>
        <b/>
        <sz val="12"/>
        <rFont val="Arial"/>
        <family val="2"/>
        <charset val="238"/>
      </rPr>
      <t>Kalkulačka výdajů státních fondů</t>
    </r>
    <r>
      <rPr>
        <sz val="12"/>
        <rFont val="Arial"/>
        <family val="2"/>
        <charset val="238"/>
      </rPr>
      <t xml:space="preserve">“ (viz následující list) je nástrojem, který umožňuje ve zjednodušené podobě vytvořit alternativní návrh výdajové strany státních fondů. Jeho účelem je přispět k racionalizaci debaty o výdajích státních fondů, kterou vysoké deficity veřejných financí pravděpodobně vyvolají. </t>
    </r>
  </si>
  <si>
    <t xml:space="preserve">U výdajových položek je aplikována přírůstková (inkrementální) metoda, kdy je možné zadat procentuální změnu. </t>
  </si>
  <si>
    <t>Jak „Kalkulačku výdajů státních fondů" používat?</t>
  </si>
  <si>
    <t>SFDI – Státní fond dopravní infrastruktury</t>
  </si>
  <si>
    <t>SFŽP – Státní fond životního prostředí České republiky</t>
  </si>
  <si>
    <t>SZIF – Státní zemědělský intervenční fond</t>
  </si>
  <si>
    <t>Schválený rozpočet</t>
  </si>
  <si>
    <t>Parametr (název)</t>
  </si>
  <si>
    <t>Parametr (hodnota)</t>
  </si>
  <si>
    <t>Výdaje na nákup materiálů</t>
  </si>
  <si>
    <t>Výdaje na nákup vody, paliv a energie</t>
  </si>
  <si>
    <t>Ostatní výdaje na nákupy služeb</t>
  </si>
  <si>
    <t>Výdaje na ostatní nákupy</t>
  </si>
  <si>
    <t>Nefinančním podnikatelským subjektům - právnickým osobám:</t>
  </si>
  <si>
    <t xml:space="preserve">ostatním  </t>
  </si>
  <si>
    <t>Fundacím, neziskovým organizacím atd.</t>
  </si>
  <si>
    <t>Rozpočtům ústřední úrovně</t>
  </si>
  <si>
    <t>Obcím (z toho SFŽP: 0,3 mld. Kč; SFDI: 0,1 mld. Kč)</t>
  </si>
  <si>
    <t>Veřejným vysokým školám</t>
  </si>
  <si>
    <t>Cizím příspěvkovým organizacím</t>
  </si>
  <si>
    <t>Ostatním příspěvkovým organizacím</t>
  </si>
  <si>
    <t>Ostatní neinvestiční transfery</t>
  </si>
  <si>
    <t>Investiční transfery</t>
  </si>
  <si>
    <t>Podnikatelským subjektům</t>
  </si>
  <si>
    <t>Ostatní investiční transfery rozpočtům územní úrovně</t>
  </si>
  <si>
    <t xml:space="preserve">U některých položek je možné úpravu provádět prostřednictvím změn jiných parametrů, jako je například počet úvazků nebo průměrný plat. </t>
  </si>
  <si>
    <t>Jak „Kalkulačku výdajů krajů a obcí" používat?</t>
  </si>
  <si>
    <t>Zákonné pojistné</t>
  </si>
  <si>
    <t>Neinvestiční transfery podnikatelům</t>
  </si>
  <si>
    <t>Neinvestiční transfery neziskovým a podobným osobám</t>
  </si>
  <si>
    <t>Neinvestiční transfery veřejným rozpočtům</t>
  </si>
  <si>
    <t>Neinvestiční transfery zřízeným příspěvkovým organizacím</t>
  </si>
  <si>
    <t>Předškolní a základní vzdělávání</t>
  </si>
  <si>
    <t>Střední vzdělávání a vzdělávání v konzervatořích</t>
  </si>
  <si>
    <t>Školská zařízení pro výkon ústavní a ochranné výchovy</t>
  </si>
  <si>
    <t>Ostatní zařízení související s výchovou a vzděláváním mládeže</t>
  </si>
  <si>
    <t>Zdravotnictví</t>
  </si>
  <si>
    <t>Neinvestiční transfery cizím příspěvkovým organizacím</t>
  </si>
  <si>
    <t>Neinvestiční půjčené prostředky</t>
  </si>
  <si>
    <t>Jiné veřejné služby a činnosti</t>
  </si>
  <si>
    <t>Ostatní neinvestiční výdaje</t>
  </si>
  <si>
    <t>Neinvestiční převody vlastním fondům a ve vztahu k útvarům bez plné právní subjektivity</t>
  </si>
  <si>
    <t>Ostatní nákup dlouhodobého nehmotného majetku</t>
  </si>
  <si>
    <t>Stavby</t>
  </si>
  <si>
    <t>Nákup majetkových podílů a nároků a vklady do fundací a ústavů</t>
  </si>
  <si>
    <t>Ostatní investiční nákupy</t>
  </si>
  <si>
    <t>Investiční transfery podnikatelským subjektům</t>
  </si>
  <si>
    <t>Investiční transfery veřejným rozpočtům</t>
  </si>
  <si>
    <t>Vodní hospodářství</t>
  </si>
  <si>
    <t>Investiční transfery zřízeným příspěvkovým organizacím</t>
  </si>
  <si>
    <t>Investiční transfery fyzickým osobám</t>
  </si>
  <si>
    <t>Investiční půjčené prostředky a ostatní kapitálové výdaje</t>
  </si>
  <si>
    <t>Ostatní půjčené prostředky a ostatní kapitálové výdaje</t>
  </si>
  <si>
    <t>Ostatní osobní výdaje</t>
  </si>
  <si>
    <t>Odměny členů zastupitelstev obcí a krajů</t>
  </si>
  <si>
    <t>Studená voda včetně stočného a úplaty za odvod dešťových vod</t>
  </si>
  <si>
    <t>Teplo</t>
  </si>
  <si>
    <t>Plyn</t>
  </si>
  <si>
    <t>Služby peněžních ústavů</t>
  </si>
  <si>
    <t>Konzultační, poradenské a právní služby</t>
  </si>
  <si>
    <t>Bydlení, komunální služby a územní rozvoj</t>
  </si>
  <si>
    <t>Státní moc, státní správa, územní samospráva a politické strany</t>
  </si>
  <si>
    <t>Platby daní státnímu rozpočtu</t>
  </si>
  <si>
    <t>Platby daní krajům, obcím a státním fondům</t>
  </si>
  <si>
    <t>Neinvestiční transfery fyzickým osobám</t>
  </si>
  <si>
    <t>Požární ochrana a integrovaný záchranný systém</t>
  </si>
  <si>
    <t>Pozemky</t>
  </si>
  <si>
    <t>Investiční transfery neziskovým a podobným organizacím</t>
  </si>
  <si>
    <t>Investiční převody mezi statutárními městy včetně hl. m. Prahy a jejich městskými obvody nebo částmi - výdaje</t>
  </si>
  <si>
    <t>Nástroj není určen k přesné predikci výdajů a příjmů veřejných zdravotních pojišťoven při alternativním nastavení parametrů či jejich procentních změn, nýbrž k ilustraci potenciálu změn výdajů a příjmů na výsledek hospodaření veřejných zdravotních pojišťoven. Z tohoto důvodu také kalkulačka obsahuje řadu modelových zjednodušení.</t>
  </si>
  <si>
    <t>Jak „Kalkulačku pro veřejné zdravotní pojišťovny" používat?</t>
  </si>
  <si>
    <t>Parametr 2 hodnota v Kč</t>
  </si>
  <si>
    <t>Ambulantní stomatologické služby</t>
  </si>
  <si>
    <t>průměrný výdaj na 1 pojištěnce</t>
  </si>
  <si>
    <t xml:space="preserve">Všeobecné praktické lékařství </t>
  </si>
  <si>
    <t>Praktické lékařství pro děti a dorost</t>
  </si>
  <si>
    <t>Ambulantní gynekologické služby</t>
  </si>
  <si>
    <t>Fyzioterapie – nelékařské profese</t>
  </si>
  <si>
    <t>Laboratorní služby</t>
  </si>
  <si>
    <t>Radiodiagnostické služby</t>
  </si>
  <si>
    <t>Mimolůžkové laboratorní a radiodiagnostické služby ostatní</t>
  </si>
  <si>
    <t>Domácí zdravotní služby</t>
  </si>
  <si>
    <t>Skupina poskytovatelů vybraných služeb (mimolůžkové ambulantní služby, klinická psychologie a logopedie, ortoptisté)</t>
  </si>
  <si>
    <t xml:space="preserve">Léčivé přípravky hrazené pouze poskytovatelům zdravotních služeb poskytujícím péči na specializovaných pracovištích </t>
  </si>
  <si>
    <t>Ambulantní hemodialyzační péče</t>
  </si>
  <si>
    <t xml:space="preserve">Sociální služby poskytující zdravotní péči </t>
  </si>
  <si>
    <t>Ambulantní péče poskytovaná v nemocnicích</t>
  </si>
  <si>
    <t>Akutní lůžková péče poskytovaná v nemocnicích</t>
  </si>
  <si>
    <t>Ostatní služby (LPS, přeprava atd., tj. zbývající neuvedené) poskytované v nemocnicích</t>
  </si>
  <si>
    <t>Léčivé přípravky hrazené pouze poskytovatelům zdravotních služeb poskytujícím péči na specializovaných pracovištích</t>
  </si>
  <si>
    <t xml:space="preserve">Následná lůžková péče </t>
  </si>
  <si>
    <t>Samostatní poskytovatelé následné a dlouhodobé lůžkové péče (ošetřovatelská lůžka, léčebny dlouhodobě nemocných)</t>
  </si>
  <si>
    <t>Lůžka následné intenzívní péče</t>
  </si>
  <si>
    <t>Lůžka ve speciálních lůžkových zařízeních hospicového typu</t>
  </si>
  <si>
    <t>Komplexní lázeňská léčebně rehabilitační péče</t>
  </si>
  <si>
    <t>Příspěvková lázeňská léčebně rehabilitační péče</t>
  </si>
  <si>
    <t>Služby v ozdravovnách</t>
  </si>
  <si>
    <t>Zdravotnická dopravní služba</t>
  </si>
  <si>
    <t>Zdravotnická záchranná služba a přeprava pacientů neodkladné péče a lékařské pohotovostní služby</t>
  </si>
  <si>
    <t>Na předepsané léky u poskytovatelů ambulantní péče</t>
  </si>
  <si>
    <t xml:space="preserve">Na předepsané léky u poskytovatelů lůžkové péče </t>
  </si>
  <si>
    <t>Zdravotnické prostředky vydané na poukazy předepsané u poskytovatelů ambulantní péče</t>
  </si>
  <si>
    <t xml:space="preserve">Zdravotnické prostředky vydané na poukazy předepsané u poskytovatelů lůžkové péče </t>
  </si>
  <si>
    <t xml:space="preserve">Léčení v zahraničí </t>
  </si>
  <si>
    <t xml:space="preserve">Finanční prostředky (vratky) </t>
  </si>
  <si>
    <t>Zálohy za cizince, specifické fondy Vojenské zdrav. pojišťovny ČR</t>
  </si>
  <si>
    <t>Provozní výdaje</t>
  </si>
  <si>
    <t>Mzdy</t>
  </si>
  <si>
    <t>počet zaměstnanců ZP</t>
  </si>
  <si>
    <t>průměrná mzda na 1 zaměstnance</t>
  </si>
  <si>
    <t>Pojistné za zaměstnance na zdravotní pojištění, sociální zabezpečení a příspěvek na státní politiku zaměstnanosti</t>
  </si>
  <si>
    <t>Ostatní výdaje</t>
  </si>
  <si>
    <t>Mimořádné převody mezi fondy</t>
  </si>
  <si>
    <t>Výdaje na investice z fondu reprodukce majetku</t>
  </si>
  <si>
    <t>Příjmy z vlastního výběru</t>
  </si>
  <si>
    <t>Pojistné od zaměstnavatelů</t>
  </si>
  <si>
    <t>vyměřovací základ</t>
  </si>
  <si>
    <t>Pojistné od osob samostatně výdělečně činných</t>
  </si>
  <si>
    <t>Příjmy z pojistného od ostatních plátců (osob bez zdanitelných příjmů + případné další platby veřejného zdravotního 
pojištění)</t>
  </si>
  <si>
    <t>Příjmy za státní pojištěnce (ze státního rozpočtu)</t>
  </si>
  <si>
    <t>Ostatní příjmy systému veřejných zdravotních pojišťoven</t>
  </si>
  <si>
    <t>Příjmy od zahraničních pojišťoven a Ministerstva obrany</t>
  </si>
  <si>
    <t>Příjmy z jiných činností</t>
  </si>
  <si>
    <t>b) Kalkulačka veřejných příjmů*</t>
  </si>
  <si>
    <t>b) Kalkulačka výdajů státního rozpočtu**</t>
  </si>
  <si>
    <t>b) Kalkulačka výdajů státních fondů**</t>
  </si>
  <si>
    <t>b) Kalkulačka výdajů krajů**</t>
  </si>
  <si>
    <t>c) Kalkulačka výdajů obcí**</t>
  </si>
  <si>
    <t>b) Kalkulačka výdajů a příjmů veřejných zdravotních pojišťoven**</t>
  </si>
  <si>
    <t xml:space="preserve">** </t>
  </si>
  <si>
    <t>*</t>
  </si>
  <si>
    <t>Kalkulačka veřejných příjmů zahrnuje příjmy (resp. výnosy) celého sektoru vládních institucí.</t>
  </si>
  <si>
    <t>Výdaje na zdravotní služby celkem</t>
  </si>
  <si>
    <t>Výdaje na ambulantní péči</t>
  </si>
  <si>
    <t>Výdaje na lůžkovou péči</t>
  </si>
  <si>
    <t>Výdaje na jinou činnost</t>
  </si>
  <si>
    <t xml:space="preserve">Výdaje na očkovací látky </t>
  </si>
  <si>
    <t xml:space="preserve">Ostatní výdaje na zdravotní služby </t>
  </si>
  <si>
    <t>Ostatní kalkulačky, tj. 2–5, zachycují výdaje (v případě zdravotních pojišťoven také příjmy) pouze určité části sektoru vládních institucí.</t>
  </si>
  <si>
    <r>
      <t>„</t>
    </r>
    <r>
      <rPr>
        <b/>
        <sz val="12"/>
        <rFont val="Arial"/>
        <family val="2"/>
        <charset val="238"/>
      </rPr>
      <t>Kalkulačka výdajů krajů a obcí</t>
    </r>
    <r>
      <rPr>
        <sz val="12"/>
        <rFont val="Arial"/>
        <family val="2"/>
        <charset val="238"/>
      </rPr>
      <t>“ (viz následující dva listy) je nástrojem, který umožňuje ve zjednodušené podobě vytvořit alternativní návrh výdajové strany rozpočtů krajů a obcí. Jeho účelem je přispět k racionalizaci debaty o výdajích krajů a obcí.</t>
    </r>
  </si>
  <si>
    <t>Zvláštní položkou ve výdajové skladbě krajů a obcí jsou neinvestiční převody vlastním fondům a ve vztahu k útvarům bez plné právní subjektivity (buňky B64 a B79). Jde o peněžní prostředky převáděné z peněžního fondu (bankovního účtu) obce nebo kraje do jiného peněžního fondu (bankovního účtu) téže organizace, jakož i peněžní prostředky převáděné hlavním městem Prahou jejím městským částem a peněžní prostředky převáděné těmito městskými částmi hlavnímu městu Praze. Tato položka má odpovídající protistranu na příjmové straně rozpočtu krajů a obcí.</t>
  </si>
  <si>
    <t xml:space="preserve">Podstatou nástroje je možnost upravovat rozsah jednotlivých položek státního rozpočtu, přičemž výchozími daty jsou hodnoty výdajů schválené v prosinci 2024 pro rozpočet na rok 2025. Názvy jednotlivých výdajových titulů jsou ve sloupci B a jejich hodnota pro rok 2025 v mld. Kč ve sloupci C. Návrh alternativního rozpočtu je možné připravit prostřednictvím úpravy parametrů, které jsou specifikovány ve sloupcích I a K. </t>
  </si>
  <si>
    <t xml:space="preserve">Data ve sloupci N specifikují navýšení, nebo úsporu, proti schválenému státnímu rozpočtu pro rok 2025. </t>
  </si>
  <si>
    <t>Konečně v buňce M139 je vypočteno saldo alternativního rozpočtu, pokud by byly jeho příjmy ve výši specifikované ve schváleném rozpočtu pro rok 2025.</t>
  </si>
  <si>
    <t xml:space="preserve">Zdrojová data za rok 2025 jsou převzata ze systému Monitor [1] a vychází z druhového a částečně odvětvového členění výdajů státního rozpočtu.    </t>
  </si>
  <si>
    <t>Jak „Kalkulačku výdajů státního rozpočtu" používat?</t>
  </si>
  <si>
    <t>Levá část nástroje (sloupce C až G) obsahuje informace o parametrech a jednotlivých výdajových titulech v roce 2025. V podbarvených buňkách ve sloupcích J a L je možné měnit vybrané parametry jednotlivých výdajových titulů. Nástroj následně vypočte výši výdajů pro alternativní znění rozpočtu (buňka M136), změnu výdajů proti schválenému rozpočtu pro rok 2025 (buňka N136) a saldo rozpočtu při stejné výši příjmů pro rok 2025 (buňka M139).</t>
  </si>
  <si>
    <t>[2] Například Návrh zákona o státním rozpočtu České republiky na rok 2025 včetně rozpočtové dokumentace.</t>
  </si>
  <si>
    <t>Kalkulačka výdajů státního rozpočtu (2025)</t>
  </si>
  <si>
    <t>Schválený státní rozpočet pro rok 2025</t>
  </si>
  <si>
    <t>Podpora stavebního spoření (2,0 mld. Kč) a důchodového připojištění (7,5 mld. Kč)</t>
  </si>
  <si>
    <t xml:space="preserve"> </t>
  </si>
  <si>
    <t>Státním fondům (35,0 mld. Kč zemědělství; 26,1 mld. Kč doprava)</t>
  </si>
  <si>
    <t>Státním fondům (93,1 mld. Kč doprava; 6,2 mld. Kč životní prostředí; 6,5 mld. Kč zemědělství)</t>
  </si>
  <si>
    <t>Ostatní kapitálové výdaje jinde nezařazené (19,9 mld. Kč) - oblasti:</t>
  </si>
  <si>
    <t>Příjmy v roce 2025</t>
  </si>
  <si>
    <t>Saldo v roce 2025</t>
  </si>
  <si>
    <t xml:space="preserve">Podstatou nástroje je možnost upravovat rozsah jednotlivých položek výdajové strany státních fondů, přičemž výchozími daty jsou hodnoty výdajů pro schválený rozpočet na rok 2025. Názvy jednotlivých výdajových titulů jsou ve sloupci B a jejich hodnota pro rok 2025 v mld. Kč ve sloupci C. Návrh alternativního rozpočtu je možné připravit prostřednictvím úpravy parametrů, které jsou specifikovány ve sloupci E. </t>
  </si>
  <si>
    <t xml:space="preserve">Data ve sloupci H specifikují navýšení, nebo úsporu, proti schválenému rozpočtu pro rok 2025. </t>
  </si>
  <si>
    <t>Konečně v buňce G59 je vypočteno saldo alternativního rozpočtu státních fondů, pokud by byly jejich příjmy ve výši specifikované ve schváleném rozpočtu pro rok 2025.</t>
  </si>
  <si>
    <t>Zdrojová data za rok 2025 jsou převzata ze systému Monitor [1] a vychází z druhového členění výdajů státních fondů.</t>
  </si>
  <si>
    <t>Levá část nástroje (sloupec C) obsahuje informace o parametrech a jednotlivých výdajových titulech v roce 2025. V podbarvených buňkách ve sloupci F je možné měnit vybrané parametry jednotlivých výdajových titulů. Nástroj následně vypočte výši výdajů pro alternativní znění rozpočtu (buňka G56), změnu výdajů proti schválenému rozpočtu pro rok 2025 (buňka H56) a saldo rozpočtu státních fondů při stejné výši příjmů pro rok 2025 (buňka G59).</t>
  </si>
  <si>
    <t>SFA – Státní fond audiovize</t>
  </si>
  <si>
    <t>Kalkulačka výdajů státních fondů (2025)</t>
  </si>
  <si>
    <t>ve vlastnictví státu (z toho SFDI: 46,7 mld. Kč)</t>
  </si>
  <si>
    <t>fyzickým osobám (z toho SZIF: 11,5 mld. Kč)</t>
  </si>
  <si>
    <t>právnickým osobám (z toho SZIF: 20,5 mld. Kč; SFA: 1,5 mld. Kč)</t>
  </si>
  <si>
    <t>Krajům (z toho SFDI: 0,2 mld. Kč)</t>
  </si>
  <si>
    <t>ve vlastnictví státu (z toho SFDI: 99,0 mld. Kč)</t>
  </si>
  <si>
    <t>fyzickým osobám (z toho SZIF: 1,7 mld. Kč)</t>
  </si>
  <si>
    <t>právnickým osobám (z toho SFŽP: 23,7 mld. Kč; SZIF: 3,5 mld. Kč; SFDI: 1,9 mld. Kč)</t>
  </si>
  <si>
    <t>ostatním (z toho SFDI: 3,6 mld. Kč)</t>
  </si>
  <si>
    <t>Obcím (z toho SFŽP: 4,4 mld. Kč; SFDI: 2,1 mld. Kč; SFPI: 1,9 mld. Kč)</t>
  </si>
  <si>
    <t>Krajům (z toho SFDI: 2,4 mld. Kč)</t>
  </si>
  <si>
    <t xml:space="preserve">Příspěvkovým a podobným organizacím </t>
  </si>
  <si>
    <t>Transfery nepodnikajícím fyzickým osobám (v tom SFŽP: 12,0 mld. Kč)</t>
  </si>
  <si>
    <t>Investiční půjčené prostředky (z toho obcím 1,1 mld. Kč; podnikatelům: 0,9 mld. Kč)</t>
  </si>
  <si>
    <t>Ostatní investiční výdaje</t>
  </si>
  <si>
    <t>A také je nutné upozornit na metodiku vykazování daně z příjmů fyzických osob (DPFO) v národním účetnictví. DPFO není očištěna o daňové zvýhodnění na vyživované dítě, které je totiž zachycováno jako sociální dávka. Případná úprava daňového zvýhodnění tedy nezmění objem daní, ale výdajů.</t>
  </si>
  <si>
    <t xml:space="preserve">Základní nastavení nástroje vychází z platné právní úpravy a plánovaných příjmů sektoru vládních institucí pro rok 2025. Zdrojová data jsou převzata z Ministerstva financí ČR [1] (Fiskální výhled České republiky, listopad 2024; Přehled hlavních ukazatelů predikce fiskálních příjmů ČR - podklad pro jednání Výboru pro rozpočtové prognózy, duben 2025) a Českého statistického úřadu [2]. Údaje o výnosech jsou v akruálním vyjádření. </t>
  </si>
  <si>
    <r>
      <t>Levá část nástroje (sloupce D až F) obsahuje informace o parametrech a výnosech jednotlivých daní/pojistného v roce 2025. Sloupec G ukazuje průměrný význam jednotlivých skupin daní v zemích EU-27 a jeho porovnáním s údaji ve sloupci F je tak možné posoudit, jak moc se náš daňový systém odlišuje (jsou zde zvolena data za rok 2023 z důvodu neúplných dat za rok 2024).</t>
    </r>
    <r>
      <rPr>
        <b/>
        <sz val="12"/>
        <rFont val="Arial"/>
        <family val="2"/>
        <charset val="238"/>
      </rPr>
      <t xml:space="preserve"> V podbarvených buňkách ve sloupci H je možné měnit vybrané parametry jednotlivých daní a pojistného</t>
    </r>
    <r>
      <rPr>
        <sz val="12"/>
        <rFont val="Arial"/>
        <family val="2"/>
        <charset val="238"/>
      </rPr>
      <t>. Nástroj následně vypočte alternativní saldo hospodaření sektoru veřejných institucí (buňka I51).</t>
    </r>
  </si>
  <si>
    <t>GSFT - Garanční systém finančního trhu</t>
  </si>
  <si>
    <t>DPH - daň z přidané hodnoty</t>
  </si>
  <si>
    <t>Kalkulačka veřejných příjmů (2025)</t>
  </si>
  <si>
    <t>Plánované příjmy 2025</t>
  </si>
  <si>
    <r>
      <t>Standardní výnos v zemích EU-27*</t>
    </r>
    <r>
      <rPr>
        <sz val="12"/>
        <rFont val="Arial"/>
        <family val="2"/>
        <charset val="238"/>
      </rPr>
      <t xml:space="preserve"> (v % HDP)</t>
    </r>
  </si>
  <si>
    <t>12,84 Kč/l ; 9,95 Kč/l (efektivní sazba 10,64Kč/l)</t>
  </si>
  <si>
    <t>nejméně 4,44 Kč/ks</t>
  </si>
  <si>
    <t>z lihu</t>
  </si>
  <si>
    <t>efektivní sazba 293,5 Kč/litr</t>
  </si>
  <si>
    <t>z piva</t>
  </si>
  <si>
    <t>efektivní sazba 3,0 Kč/litr</t>
  </si>
  <si>
    <t>z elektřiny</t>
  </si>
  <si>
    <t>sazba 28,3 Kč/MWh</t>
  </si>
  <si>
    <t>ze zemního plynu</t>
  </si>
  <si>
    <t>sazba 30,6 Kč/MWh</t>
  </si>
  <si>
    <t>z pevných paliv</t>
  </si>
  <si>
    <t>sazba 8,5 Kč/GJ</t>
  </si>
  <si>
    <t>z odvodu z elektřiny ze slunečního záření</t>
  </si>
  <si>
    <r>
      <t>z vína a meziproduktů</t>
    </r>
    <r>
      <rPr>
        <b/>
        <i/>
        <sz val="12"/>
        <color theme="1"/>
        <rFont val="Arial"/>
        <family val="2"/>
        <charset val="238"/>
      </rPr>
      <t xml:space="preserve"> </t>
    </r>
    <r>
      <rPr>
        <b/>
        <sz val="12"/>
        <color theme="1"/>
        <rFont val="Arial"/>
        <family val="2"/>
        <charset val="238"/>
      </rPr>
      <t>(šumivé víno)</t>
    </r>
  </si>
  <si>
    <t>sazba 23,4 Kč/litr</t>
  </si>
  <si>
    <t>daň na energii z obnovitelných zdrojů</t>
  </si>
  <si>
    <t>firmy</t>
  </si>
  <si>
    <t>263,8 Kč/MWh</t>
  </si>
  <si>
    <t>domácnosti</t>
  </si>
  <si>
    <t>599 Kč/MWh</t>
  </si>
  <si>
    <t>příjem z prodeje emisních povolenek</t>
  </si>
  <si>
    <r>
      <t xml:space="preserve">ostatní </t>
    </r>
    <r>
      <rPr>
        <sz val="12"/>
        <color theme="1"/>
        <rFont val="Arial"/>
        <family val="2"/>
        <charset val="238"/>
      </rPr>
      <t>(např. windfall tax, příspěvky do GSFT, televizní a rozhlasové poplatky, silniční daň)</t>
    </r>
  </si>
  <si>
    <t>úrazové pojištění</t>
  </si>
  <si>
    <t>příjmy z EU</t>
  </si>
  <si>
    <t>důchody z vlastnictví (např. přijaté úroky, dividendy)</t>
  </si>
  <si>
    <t>příjem z mýtného</t>
  </si>
  <si>
    <t>příjem z prodeje dálničních známek</t>
  </si>
  <si>
    <r>
      <t xml:space="preserve">ostatní </t>
    </r>
    <r>
      <rPr>
        <sz val="12"/>
        <color theme="1"/>
        <rFont val="Arial"/>
        <family val="2"/>
        <charset val="238"/>
      </rPr>
      <t>(např. místní a správní poplatky, poplatky za svoz odpadu, sankční platby...)</t>
    </r>
  </si>
  <si>
    <t>* Průměrný výnos v zemích EU-27 je k roku 2023.</t>
  </si>
  <si>
    <t>** Bez DPPO placené obcemi a kraji</t>
  </si>
  <si>
    <t>(v roce 2025 cca 10 mld. Kč).</t>
  </si>
  <si>
    <t>Pivo</t>
  </si>
  <si>
    <t>Zdravotní pojištění (zamětnanci, zaměstnavatelé, OSVČ)</t>
  </si>
  <si>
    <t>Zdravotní pojištění (státní pojištěnci)</t>
  </si>
  <si>
    <t>Standardní výnos v zemích EU-27</t>
  </si>
  <si>
    <t>Saldo VF 2025 (mld. Kč)</t>
  </si>
  <si>
    <t>Saldo VF 2025 (% HDP)</t>
  </si>
  <si>
    <t>Komentář ke kalkulačce pro veřejné zdravotní pojišťovny</t>
  </si>
  <si>
    <t>sazba</t>
  </si>
  <si>
    <t>SALDO V ROCE 2025</t>
  </si>
  <si>
    <t>Kalkulačka pro veřejné zdravotní pojišťovny (2025)</t>
  </si>
  <si>
    <r>
      <t>„</t>
    </r>
    <r>
      <rPr>
        <b/>
        <sz val="12"/>
        <rFont val="Arial"/>
        <family val="2"/>
        <charset val="238"/>
      </rPr>
      <t>Kalkulačka výdajů a příjmů veřejných zdravotních pojišťoven</t>
    </r>
    <r>
      <rPr>
        <sz val="12"/>
        <rFont val="Arial"/>
        <family val="2"/>
        <charset val="238"/>
      </rPr>
      <t xml:space="preserve">“ (viz následující list) je nástrojem, který umožňuje rámcově simulovat fiskální dopady změn v nastavení hlavních parametrů výdajových a příjmových položek veřejných zdravotních pojišťoven v České republice. Jeho účelem je přispět k racionalizaci debaty ohledně nastavení výše výdajů a příjmů veřejných pojišťoven, kterou vysoké deficity veřejných financí pravděpodobně vyvolají. </t>
    </r>
  </si>
  <si>
    <t>Podstatou nástroje je možnost upravovat rozsah jednotlivých položek výdajů a příjmů veřejných zdravotních pojišťoven, přičemž výchozími daty jsou hodnoty výdajů z návrhů zdravotně pojistných plánů zdravotních pojišťoven na rok 2025. Názvy jednotlivých výdajových a příjmových titulů jsou ve sloupci B a jejich hodnota pro rok 2025 v mld. Kč ve sloupci C. Návrh alternativního rozpočtu je možné připravit prostřednictvím úpravy parametrů, které jsou specifikovány ve sloupcích J a L. V buňce J46 lze specifikovat počet zaměstnanců zdravotních pojišťoven, dále je ve sloupci J možné specifikovat sazbu zdravotního pojištění. Ve sloupci L lze specifikovat průměrný výdaj na jednoho pojištěnce pro danou výdajovou položku a v buňce L46 lze specifikovat průměrnou mzdu zaměstnance zdravotních pojišťoven. Dále lze ve sloupci L specifikovat vyměřovací základ na zdravotní pojištění.</t>
  </si>
  <si>
    <t xml:space="preserve">Na některé výdajové položky je aplikována přírůstková (inkrementální) metoda, kdy je možné zadat ve sloupci L procentuální změnu. </t>
  </si>
  <si>
    <t xml:space="preserve">Data ve sloupci N specifikují navýšení, nebo úsporu, proti schválenému rozpočtu pro rok 2025. </t>
  </si>
  <si>
    <t>Konečně v buňce M64 je vypočteno saldo alternativního rozpočtu veřejných zdravotních pojišťoven.</t>
  </si>
  <si>
    <t xml:space="preserve">Zdrojová data za rok 2025 jsou převzata ze zdravotně-pojistných plánů zdravotních pojišťoven pro rok 2025 [1]. Výdaje za zdravotní služby vycházejí z tabulkové přílohy Hodnocení předpokládaného vývoje systému veřejného zdravotního pojištění na základě návrhů zdravotně pojistných plánů zdravotních pojišťoven na rok 2025 zpp_2025_vláda_t4,t4a,t4b,t4c (tabulka č. 4). Avšak tabulka č. 4 v textovém dokumentu tohoto materiálu uvádí jiný agregovaný údaj. Místo 526,0 mld. Kč uvádí hodnotu 526,4 mld. Kč, tedy o 0,4 mld. Kč vyšší. Z tohoto důvodu jsme v kalkulačce navýšili položku ostatní výdaje na zdravotní služby o 0,4 mld. Kč, aby agregovaný údaj a saldo subsektoru byly v souladu s textovým dokumentem.             </t>
  </si>
  <si>
    <t>Aktuální hodnoty vybraných parametrů (jako například počty zaměstnanců) jsou buď převzaty z relevantních dokumentů [1], nebo jsou dopočteny (jako například průměrné mzdy zaměstnanců zdravotních pojišťoven). Vzhledem k tomu, že v některých případech nejsou k dispozici aktuální data, mohou být skutečné hodnoty mírně odlišné.</t>
  </si>
  <si>
    <t>Levá část nástroje (sloupce C až G) obsahuje informace o parametrech a jednotlivých výdajových titulech v roce 2025. V podbarvených buňkách ve sloupcích J a L je možné měnit vybrané parametry jednotlivých výdajových a příjmových titulů. Nástroj následně vypočte výši výdajů pro alternativní znění rozpočtu (buňka M52), změnu výdajů proti schválenému rozpočtu pro rok 2025 (buňka N52), výši příjmů pro alternativní znění rozpočtu (buňka M62), změnu příjmů proti schválenému rozpočtu pro rok 2025 (buňka N62) a saldo rozpočtu u alternativního znění rozpočtu (buňka M64).</t>
  </si>
  <si>
    <t>[1]  Návrhy zdravotně pojistných plánů zdravotních pojišťoven na rok 2025.</t>
  </si>
  <si>
    <t>[1] https://www.mfcr.cz/cs/rozpoctova-politika/makroekonomika/fiskalni-vyhled/2024/fiskalni-vyhled-cr-listopad-2024-57688, https://www.mfcr.cz/cs/rozpoctova-politika/makroekonomika/vybor-pro-rozpoctove-prognozy/jednani-vyboru-pro-rozpoctove-prognozy.</t>
  </si>
  <si>
    <t>[2] https://www.czso.cz/csu/czso/statistiky.</t>
  </si>
  <si>
    <t>[1] https://portal.statnipokladna.cz/.</t>
  </si>
  <si>
    <t>a) Komentář ke kalkulačce výdajů krajů a obcí</t>
  </si>
  <si>
    <t>Komentář ke kalkulačce výdajů krajů a obcí</t>
  </si>
  <si>
    <t xml:space="preserve">Podstatou nástroje je možnost upravovat rozsah jednotlivých položek výdajové strany krajů a obcí, přičemž výchozími daty jsou hodnoty výdajů pro skutečnost za rok 2024. Názvy jednotlivých výdajových titulů jsou ve sloupci B a jejich hodnota pro rok 2024 v mld. Kč ve sloupci C. Návrh alternativního rozpočtu je možné připravit prostřednictvím úpravy parametrů, které jsou specifikovány ve sloupcích J a L. Ve většině výdajových položek je aplikována přírůstková (inkrementální) metoda, kdy je možné zadat procentuální změnu. </t>
  </si>
  <si>
    <t xml:space="preserve">Data ve sloupci N specifikují navýšení, nebo úsporu, proti roku 2024. </t>
  </si>
  <si>
    <t>Zdrojová data za rok 2024 jsou převzata ze systému Portál státní pokladny [1] a vychází z druhového členění výdajů krajů a obcí. Data pro rok 2025 v době tvorby této kalkulačky nebyla k dispozici.</t>
  </si>
  <si>
    <t>Kalkulačka výdajů krajů (2024)</t>
  </si>
  <si>
    <t>Kalkulačka výdajů obcí (2024)</t>
  </si>
  <si>
    <t>počet úvazků (2022):</t>
  </si>
  <si>
    <t>průměrný plat:</t>
  </si>
  <si>
    <t>Neivestiční nákupy</t>
  </si>
  <si>
    <t>Základní umělecké , jazykové a zájmové vzdělávání</t>
  </si>
  <si>
    <t>Invetiční nákupy</t>
  </si>
  <si>
    <t>Příjmy v roce 2024</t>
  </si>
  <si>
    <t>Saldo v roce 2024</t>
  </si>
  <si>
    <t>Saldo hospodaření v roce 2024 dle alternativního návrhu</t>
  </si>
  <si>
    <t>Konečně v buňce M105 (ve výdajové kalkulačce krajů) a v buňce M124 (ve výdajové kalkulačce obcí) je vypočteno saldo alternativního rozpočtu, pokud by byly jeho příjmy ve výši roku 2024.</t>
  </si>
  <si>
    <t>Levá část nástroje (sloupec C) obsahuje informace o parametrech a jednotlivých výdajových titulech v roce 2024. V podbarvených buňkách ve sloupcích J a L je možné měnit vybrané parametry jednotlivých výdajových titulů. Nástroj následně vypočte výši výdajů pro alternativní znění rozpočtu (buňky M99 a M118), změnu výdajů proti výsledku hodpodaření v roce 2024 (buňky N99 a N118) a saldo rozpočtu krajů a obcí při stejné výši příjmů jako v roce 2024 (buňky M105 a M124).</t>
  </si>
  <si>
    <t>počet úvazků:</t>
  </si>
  <si>
    <t>počet zastupitelů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</si>
</sst>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1">
    <numFmt numFmtId="5" formatCode="#,##0\ &quot;Kč&quot;;\-#,##0\ &quot;Kč&quot;"/>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_-* #,##0\ _K_č_-;\-* #,##0\ _K_č_-;_-* &quot;-&quot;\ _K_č_-;_-@_-"/>
    <numFmt numFmtId="165" formatCode="_-* #,##0.00\ _K_č_-;\-* #,##0.00\ _K_č_-;_-* &quot;-&quot;??\ _K_č_-;_-@_-"/>
    <numFmt numFmtId="166" formatCode="_(&quot;$&quot;* #,##0_);_(&quot;$&quot;* \(#,##0\);_(&quot;$&quot;* &quot;-&quot;_);_(@_)"/>
    <numFmt numFmtId="167" formatCode="#,##0.0"/>
    <numFmt numFmtId="168" formatCode="General_)"/>
    <numFmt numFmtId="169" formatCode="0.0_)"/>
    <numFmt numFmtId="170" formatCode="m\o\n\th\ d\,\ \y\y\y\y"/>
    <numFmt numFmtId="171" formatCode="&quot;$&quot;#,##0\ ;\(&quot;$&quot;#,##0\)"/>
    <numFmt numFmtId="172" formatCode="\$#,##0\ ;\(\$#,##0\)"/>
    <numFmt numFmtId="173" formatCode="0.0%"/>
    <numFmt numFmtId="174" formatCode="@*."/>
    <numFmt numFmtId="175" formatCode="_ @*."/>
    <numFmt numFmtId="176" formatCode="__@*."/>
    <numFmt numFmtId="177" formatCode="___ @*."/>
    <numFmt numFmtId="178" formatCode="#,##0_K"/>
    <numFmt numFmtId="179" formatCode="#,##0.0\ &quot;Kč&quot;"/>
    <numFmt numFmtId="180" formatCode="#,##0\ &quot;Kč&quot;"/>
    <numFmt numFmtId="181" formatCode="#,##0.000000000"/>
    <numFmt numFmtId="182" formatCode="0.000000000000"/>
    <numFmt numFmtId="183" formatCode="#,##0.00000"/>
    <numFmt numFmtId="184" formatCode="0.000000000%"/>
    <numFmt numFmtId="185" formatCode="_-* #,##0_-;\-* #,##0_-;_-* &quot;-&quot;??_-;_-@_-"/>
    <numFmt numFmtId="186" formatCode="#,##0.00\ &quot;Kč&quot;"/>
    <numFmt numFmtId="187" formatCode="0.0"/>
    <numFmt numFmtId="188" formatCode="#,##0.0000"/>
    <numFmt numFmtId="189" formatCode="#,##0.0000000000"/>
    <numFmt numFmtId="190" formatCode="#,##0.00000000"/>
    <numFmt numFmtId="191" formatCode="#,##0.0000000"/>
    <numFmt numFmtId="192" formatCode="_-* #,##0.0\ _K_č_-;\-* #,##0.0\ _K_č_-;_-* &quot;-&quot;?\ _K_č_-;_-@_-"/>
    <numFmt numFmtId="193" formatCode="#,##0.000000"/>
    <numFmt numFmtId="194" formatCode="#,##0.00000000000"/>
    <numFmt numFmtId="195" formatCode="_-* #,##0.0000\ _K_č_-;\-* #,##0.0000\ _K_č_-;_-* &quot;-&quot;?\ _K_č_-;_-@_-"/>
    <numFmt numFmtId="196" formatCode="#,##0.00000000000000"/>
    <numFmt numFmtId="197" formatCode="#,##0.000"/>
    <numFmt numFmtId="198" formatCode="0.0000000000"/>
    <numFmt numFmtId="199" formatCode="0.00000"/>
  </numFmts>
  <fonts count="112" x14ac:knownFonts="1">
    <font>
      <sz val="11"/>
      <color theme="1"/>
      <name val="Calibri"/>
      <family val="2"/>
      <charset val="238"/>
      <scheme val="minor"/>
    </font>
    <font>
      <sz val="11"/>
      <color theme="1"/>
      <name val="Calibri"/>
      <family val="2"/>
      <charset val="238"/>
      <scheme val="minor"/>
    </font>
    <font>
      <sz val="8"/>
      <color theme="1"/>
      <name val="Calibri"/>
      <family val="2"/>
      <scheme val="minor"/>
    </font>
    <font>
      <sz val="10"/>
      <name val="Arial"/>
      <family val="2"/>
    </font>
    <font>
      <sz val="10"/>
      <name val="Calibri"/>
      <family val="2"/>
      <charset val="238"/>
    </font>
    <font>
      <u/>
      <sz val="8"/>
      <color rgb="FF417D95"/>
      <name val="Calibri"/>
      <family val="2"/>
      <scheme val="minor"/>
    </font>
    <font>
      <sz val="10"/>
      <color theme="1"/>
      <name val="Calibri"/>
      <family val="2"/>
      <charset val="238"/>
      <scheme val="minor"/>
    </font>
    <font>
      <b/>
      <sz val="1"/>
      <color indexed="8"/>
      <name val="Courier"/>
      <family val="1"/>
      <charset val="238"/>
    </font>
    <font>
      <u/>
      <sz val="10"/>
      <color indexed="12"/>
      <name val="Times New Roman CE"/>
      <family val="2"/>
      <charset val="238"/>
    </font>
    <font>
      <sz val="11"/>
      <color theme="1"/>
      <name val="Calibri"/>
      <family val="2"/>
      <scheme val="minor"/>
    </font>
    <font>
      <sz val="10"/>
      <name val="Arial CE"/>
      <family val="2"/>
      <charset val="238"/>
    </font>
    <font>
      <sz val="1"/>
      <color indexed="8"/>
      <name val="Courier"/>
      <family val="1"/>
      <charset val="238"/>
    </font>
    <font>
      <u/>
      <sz val="10"/>
      <color theme="10"/>
      <name val="Calibri"/>
      <family val="2"/>
      <charset val="238"/>
      <scheme val="minor"/>
    </font>
    <font>
      <sz val="11"/>
      <name val="Arial"/>
      <family val="2"/>
      <charset val="238"/>
    </font>
    <font>
      <sz val="12"/>
      <name val="Courier"/>
      <family val="3"/>
      <charset val="238"/>
    </font>
    <font>
      <u/>
      <sz val="10"/>
      <color indexed="12"/>
      <name val="Arial"/>
      <family val="2"/>
      <charset val="238"/>
    </font>
    <font>
      <b/>
      <sz val="18"/>
      <name val="Arial CE"/>
      <family val="2"/>
      <charset val="238"/>
    </font>
    <font>
      <b/>
      <sz val="12"/>
      <name val="Arial CE"/>
      <family val="2"/>
      <charset val="238"/>
    </font>
    <font>
      <b/>
      <sz val="18"/>
      <name val="Arial"/>
      <family val="2"/>
      <charset val="238"/>
    </font>
    <font>
      <b/>
      <sz val="12"/>
      <name val="Arial"/>
      <family val="2"/>
      <charset val="238"/>
    </font>
    <font>
      <sz val="12"/>
      <color theme="1"/>
      <name val="Arial"/>
      <family val="2"/>
      <charset val="238"/>
    </font>
    <font>
      <b/>
      <sz val="12"/>
      <color theme="1"/>
      <name val="Arial"/>
      <family val="2"/>
      <charset val="238"/>
    </font>
    <font>
      <b/>
      <sz val="12"/>
      <color rgb="FFFF0000"/>
      <name val="Arial"/>
      <family val="2"/>
      <charset val="238"/>
    </font>
    <font>
      <sz val="12"/>
      <color rgb="FFFF0000"/>
      <name val="Arial"/>
      <family val="2"/>
      <charset val="238"/>
    </font>
    <font>
      <sz val="10"/>
      <color theme="1"/>
      <name val="Calibri"/>
      <family val="2"/>
      <charset val="238"/>
    </font>
    <font>
      <u/>
      <sz val="10"/>
      <color indexed="12"/>
      <name val="Arial CE"/>
      <family val="2"/>
      <charset val="238"/>
    </font>
    <font>
      <sz val="1"/>
      <color indexed="8"/>
      <name val="Courier"/>
      <family val="3"/>
      <charset val="238"/>
    </font>
    <font>
      <b/>
      <sz val="1"/>
      <color indexed="8"/>
      <name val="Courier"/>
      <family val="3"/>
      <charset val="238"/>
    </font>
    <font>
      <sz val="8"/>
      <name val="Arial"/>
      <family val="2"/>
      <charset val="238"/>
    </font>
    <font>
      <b/>
      <sz val="10"/>
      <color indexed="9"/>
      <name val="Times New Roman CE"/>
      <family val="1"/>
      <charset val="238"/>
    </font>
    <font>
      <b/>
      <sz val="18"/>
      <name val="Arial CE"/>
      <family val="2"/>
    </font>
    <font>
      <b/>
      <sz val="12"/>
      <name val="Arial CE"/>
      <family val="2"/>
    </font>
    <font>
      <b/>
      <sz val="9"/>
      <name val="Arial Narrow"/>
      <family val="2"/>
    </font>
    <font>
      <sz val="9"/>
      <name val="Arial Narrow"/>
      <family val="2"/>
    </font>
    <font>
      <sz val="11"/>
      <color indexed="8"/>
      <name val="Calibri"/>
      <family val="2"/>
      <charset val="238"/>
    </font>
    <font>
      <sz val="12"/>
      <color indexed="8"/>
      <name val="Calibri"/>
      <family val="2"/>
    </font>
    <font>
      <sz val="11"/>
      <color indexed="9"/>
      <name val="Calibri"/>
      <family val="2"/>
      <charset val="238"/>
    </font>
    <font>
      <sz val="12"/>
      <color indexed="9"/>
      <name val="Calibri"/>
      <family val="2"/>
    </font>
    <font>
      <sz val="12"/>
      <color indexed="20"/>
      <name val="Calibri"/>
      <family val="2"/>
    </font>
    <font>
      <b/>
      <sz val="12"/>
      <color indexed="52"/>
      <name val="Calibri"/>
      <family val="2"/>
    </font>
    <font>
      <b/>
      <sz val="11"/>
      <color indexed="8"/>
      <name val="Calibri"/>
      <family val="2"/>
    </font>
    <font>
      <i/>
      <sz val="12"/>
      <color indexed="23"/>
      <name val="Calibri"/>
      <family val="2"/>
    </font>
    <font>
      <sz val="12"/>
      <color indexed="17"/>
      <name val="Calibri"/>
      <family val="2"/>
    </font>
    <font>
      <b/>
      <sz val="11"/>
      <color indexed="41"/>
      <name val="Calibri"/>
      <family val="2"/>
    </font>
    <font>
      <b/>
      <sz val="12"/>
      <color indexed="9"/>
      <name val="Calibri"/>
      <family val="2"/>
    </font>
    <font>
      <sz val="11"/>
      <color indexed="20"/>
      <name val="Calibri"/>
      <family val="2"/>
      <charset val="238"/>
    </font>
    <font>
      <sz val="12"/>
      <color indexed="62"/>
      <name val="Calibri"/>
      <family val="2"/>
    </font>
    <font>
      <b/>
      <sz val="11"/>
      <color indexed="9"/>
      <name val="Calibri"/>
      <family val="2"/>
      <charset val="238"/>
    </font>
    <font>
      <sz val="12"/>
      <color indexed="52"/>
      <name val="Calibri"/>
      <family val="2"/>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2"/>
      <color indexed="60"/>
      <name val="Calibri"/>
      <family val="2"/>
    </font>
    <font>
      <sz val="11"/>
      <color indexed="60"/>
      <name val="Calibri"/>
      <family val="2"/>
      <charset val="238"/>
    </font>
    <font>
      <b/>
      <sz val="12"/>
      <color indexed="63"/>
      <name val="Calibri"/>
      <family val="2"/>
    </font>
    <font>
      <sz val="11"/>
      <color indexed="52"/>
      <name val="Calibri"/>
      <family val="2"/>
      <charset val="238"/>
    </font>
    <font>
      <b/>
      <sz val="8"/>
      <name val="Arial"/>
      <family val="2"/>
    </font>
    <font>
      <b/>
      <sz val="8"/>
      <color indexed="8"/>
      <name val="Arial"/>
      <family val="2"/>
    </font>
    <font>
      <b/>
      <sz val="10"/>
      <name val="Arial"/>
      <family val="2"/>
      <charset val="238"/>
    </font>
    <font>
      <sz val="8"/>
      <color indexed="8"/>
      <name val="Arial"/>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charset val="238"/>
    </font>
    <font>
      <sz val="11"/>
      <color indexed="10"/>
      <name val="Calibri"/>
      <family val="2"/>
      <charset val="238"/>
    </font>
    <font>
      <b/>
      <sz val="18"/>
      <color indexed="41"/>
      <name val="Cambria"/>
      <family val="2"/>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2"/>
      <color indexed="10"/>
      <name val="Calibri"/>
      <family val="2"/>
    </font>
    <font>
      <u/>
      <sz val="7.5"/>
      <color indexed="12"/>
      <name val="Arial CE"/>
      <family val="2"/>
    </font>
    <font>
      <sz val="10"/>
      <name val="Times New Roman CE"/>
      <family val="1"/>
      <charset val="238"/>
    </font>
    <font>
      <sz val="10"/>
      <color theme="1"/>
      <name val="Arial"/>
      <family val="2"/>
      <charset val="238"/>
    </font>
    <font>
      <sz val="11"/>
      <color theme="1"/>
      <name val="Calibri"/>
      <family val="2"/>
      <charset val="238"/>
    </font>
    <font>
      <sz val="11"/>
      <color indexed="8"/>
      <name val="Calibri"/>
      <family val="2"/>
      <scheme val="minor"/>
    </font>
    <font>
      <sz val="8"/>
      <name val="Calibri"/>
      <family val="2"/>
      <charset val="238"/>
      <scheme val="minor"/>
    </font>
    <font>
      <sz val="12"/>
      <name val="Arial"/>
      <family val="2"/>
      <charset val="238"/>
    </font>
    <font>
      <i/>
      <sz val="12"/>
      <color theme="1"/>
      <name val="Arial"/>
      <family val="2"/>
      <charset val="238"/>
    </font>
    <font>
      <b/>
      <sz val="12"/>
      <color theme="0"/>
      <name val="Arial"/>
      <family val="2"/>
      <charset val="238"/>
    </font>
    <font>
      <b/>
      <sz val="16"/>
      <color theme="1"/>
      <name val="Arial"/>
      <family val="2"/>
      <charset val="238"/>
    </font>
    <font>
      <sz val="12"/>
      <color indexed="8"/>
      <name val="Arial"/>
      <family val="2"/>
      <charset val="238"/>
    </font>
    <font>
      <b/>
      <sz val="12"/>
      <color indexed="8"/>
      <name val="Arial"/>
      <family val="2"/>
      <charset val="238"/>
    </font>
    <font>
      <b/>
      <sz val="26"/>
      <color indexed="8"/>
      <name val="Open Sans"/>
      <family val="2"/>
    </font>
    <font>
      <b/>
      <sz val="18"/>
      <color theme="1"/>
      <name val="Arial"/>
      <family val="2"/>
      <charset val="238"/>
    </font>
    <font>
      <b/>
      <sz val="18"/>
      <color rgb="FFC00000"/>
      <name val="Arial"/>
      <family val="2"/>
      <charset val="238"/>
    </font>
    <font>
      <sz val="12"/>
      <color theme="0"/>
      <name val="Arial"/>
      <family val="2"/>
      <charset val="238"/>
    </font>
    <font>
      <i/>
      <sz val="12"/>
      <name val="Arial"/>
      <family val="2"/>
      <charset val="238"/>
    </font>
    <font>
      <sz val="11"/>
      <color theme="1"/>
      <name val="Arial"/>
      <family val="2"/>
      <charset val="238"/>
    </font>
    <font>
      <b/>
      <sz val="36"/>
      <color theme="1"/>
      <name val="Arial"/>
      <family val="2"/>
      <charset val="238"/>
    </font>
    <font>
      <sz val="12"/>
      <color theme="9"/>
      <name val="Arial"/>
      <family val="2"/>
      <charset val="238"/>
    </font>
    <font>
      <sz val="12"/>
      <color rgb="FF000000"/>
      <name val="Arial"/>
      <family val="2"/>
      <charset val="238"/>
    </font>
    <font>
      <b/>
      <sz val="12"/>
      <color rgb="FF000000"/>
      <name val="Arial"/>
      <family val="2"/>
      <charset val="238"/>
    </font>
    <font>
      <b/>
      <sz val="26"/>
      <name val="Arial"/>
      <family val="2"/>
      <charset val="238"/>
    </font>
    <font>
      <sz val="18"/>
      <color rgb="FFFF0000"/>
      <name val="Arial"/>
      <family val="2"/>
      <charset val="238"/>
    </font>
    <font>
      <b/>
      <sz val="14"/>
      <name val="Arial"/>
      <family val="2"/>
      <charset val="238"/>
    </font>
    <font>
      <b/>
      <sz val="26"/>
      <color theme="1"/>
      <name val="Arial"/>
      <family val="2"/>
      <charset val="238"/>
    </font>
    <font>
      <b/>
      <sz val="26"/>
      <color indexed="8"/>
      <name val="Arial"/>
      <family val="2"/>
      <charset val="238"/>
    </font>
    <font>
      <b/>
      <sz val="26"/>
      <color rgb="FF000000"/>
      <name val="Arial"/>
      <family val="2"/>
      <charset val="238"/>
    </font>
    <font>
      <u/>
      <sz val="11"/>
      <name val="Arial"/>
      <family val="2"/>
      <charset val="238"/>
    </font>
    <font>
      <b/>
      <sz val="14"/>
      <color theme="1"/>
      <name val="Arial"/>
      <family val="2"/>
      <charset val="238"/>
    </font>
    <font>
      <b/>
      <sz val="28"/>
      <color theme="1"/>
      <name val="Arial"/>
      <family val="2"/>
      <charset val="238"/>
    </font>
    <font>
      <sz val="10"/>
      <color theme="2" tint="-0.749992370372631"/>
      <name val="Arial"/>
      <family val="2"/>
      <charset val="238"/>
    </font>
    <font>
      <sz val="12"/>
      <color theme="4"/>
      <name val="Arial"/>
      <family val="2"/>
      <charset val="238"/>
    </font>
    <font>
      <sz val="12"/>
      <color theme="5" tint="-0.249977111117893"/>
      <name val="Arial"/>
      <family val="2"/>
      <charset val="238"/>
    </font>
    <font>
      <b/>
      <sz val="12"/>
      <color theme="5" tint="-0.249977111117893"/>
      <name val="Arial"/>
      <family val="2"/>
      <charset val="238"/>
    </font>
    <font>
      <b/>
      <i/>
      <sz val="12"/>
      <color theme="1"/>
      <name val="Arial"/>
      <family val="2"/>
      <charset val="238"/>
    </font>
    <font>
      <i/>
      <sz val="12"/>
      <color theme="0"/>
      <name val="Arial"/>
      <family val="2"/>
      <charset val="238"/>
    </font>
    <font>
      <vertAlign val="superscript"/>
      <sz val="10"/>
      <color theme="2" tint="-0.749992370372631"/>
      <name val="Arial"/>
      <family val="2"/>
      <charset val="238"/>
    </font>
    <font>
      <vertAlign val="superscript"/>
      <sz val="11"/>
      <color theme="1"/>
      <name val="Arial"/>
      <family val="2"/>
      <charset val="238"/>
    </font>
  </fonts>
  <fills count="59">
    <fill>
      <patternFill patternType="none"/>
    </fill>
    <fill>
      <patternFill patternType="gray125"/>
    </fill>
    <fill>
      <patternFill patternType="solid">
        <fgColor theme="2"/>
        <bgColor indexed="64"/>
      </patternFill>
    </fill>
    <fill>
      <patternFill patternType="solid">
        <fgColor indexed="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26"/>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43"/>
        <bgColor indexed="64"/>
      </patternFill>
    </fill>
    <fill>
      <patternFill patternType="solid">
        <fgColor indexed="22"/>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1"/>
        <bgColor indexed="64"/>
      </patternFill>
    </fill>
    <fill>
      <patternFill patternType="solid">
        <fgColor indexed="58"/>
        <bgColor indexed="64"/>
      </patternFill>
    </fill>
    <fill>
      <patternFill patternType="solid">
        <fgColor indexed="10"/>
        <bgColor indexed="64"/>
      </patternFill>
    </fill>
    <fill>
      <patternFill patternType="solid">
        <fgColor indexed="40"/>
        <bgColor indexed="64"/>
      </patternFill>
    </fill>
    <fill>
      <patternFill patternType="solid">
        <fgColor indexed="57"/>
        <bgColor indexed="64"/>
      </patternFill>
    </fill>
    <fill>
      <patternFill patternType="solid">
        <fgColor indexed="60"/>
        <bgColor indexed="64"/>
      </patternFill>
    </fill>
    <fill>
      <patternFill patternType="solid">
        <fgColor indexed="50"/>
        <bgColor indexed="64"/>
      </patternFill>
    </fill>
    <fill>
      <patternFill patternType="solid">
        <fgColor indexed="54"/>
        <bgColor indexed="64"/>
      </patternFill>
    </fill>
    <fill>
      <patternFill patternType="solid">
        <fgColor indexed="55"/>
        <bgColor indexed="64"/>
      </patternFill>
    </fill>
    <fill>
      <patternFill patternType="solid">
        <fgColor indexed="41"/>
        <bgColor indexed="64"/>
      </patternFill>
    </fill>
    <fill>
      <patternFill patternType="solid">
        <fgColor indexed="53"/>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2"/>
        <bgColor indexed="64"/>
      </patternFill>
    </fill>
    <fill>
      <patternFill patternType="lightUp">
        <fgColor indexed="48"/>
        <bgColor indexed="41"/>
      </patternFill>
    </fill>
    <fill>
      <patternFill patternType="solid">
        <fgColor indexed="23"/>
        <bgColor indexed="64"/>
      </patternFill>
    </fill>
    <fill>
      <patternFill patternType="solid">
        <fgColor indexed="15"/>
        <bgColor indexed="64"/>
      </patternFill>
    </fill>
    <fill>
      <patternFill patternType="solid">
        <fgColor indexed="20"/>
        <bgColor indexed="64"/>
      </patternFill>
    </fill>
    <fill>
      <patternFill patternType="solid">
        <fgColor indexed="62"/>
        <bgColor indexed="64"/>
      </patternFill>
    </fill>
    <fill>
      <patternFill patternType="solid">
        <fgColor theme="4" tint="0.59996337778862885"/>
        <bgColor indexed="64"/>
      </patternFill>
    </fill>
    <fill>
      <patternFill patternType="solid">
        <fgColor rgb="FFFFFFCC"/>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FF"/>
        <bgColor rgb="FF000000"/>
      </patternFill>
    </fill>
    <fill>
      <patternFill patternType="solid">
        <fgColor rgb="FFA6A6A6"/>
        <bgColor rgb="FF000000"/>
      </patternFill>
    </fill>
    <fill>
      <patternFill patternType="solid">
        <fgColor rgb="FFE7E6E6"/>
        <bgColor rgb="FF000000"/>
      </patternFill>
    </fill>
    <fill>
      <patternFill patternType="solid">
        <fgColor theme="0"/>
        <bgColor rgb="FF000000"/>
      </patternFill>
    </fill>
    <fill>
      <patternFill patternType="solid">
        <fgColor theme="0" tint="-0.249977111117893"/>
        <bgColor rgb="FF000000"/>
      </patternFill>
    </fill>
    <fill>
      <patternFill patternType="solid">
        <fgColor theme="2"/>
        <bgColor rgb="FF000000"/>
      </patternFill>
    </fill>
    <fill>
      <gradientFill>
        <stop position="0">
          <color theme="0"/>
        </stop>
        <stop position="1">
          <color rgb="FFFF0000"/>
        </stop>
      </gradientFill>
    </fill>
    <fill>
      <gradientFill>
        <stop position="0">
          <color theme="0"/>
        </stop>
        <stop position="1">
          <color theme="0" tint="-0.1490218817712943"/>
        </stop>
      </gradientFill>
    </fill>
    <fill>
      <gradientFill>
        <stop position="0">
          <color theme="0"/>
        </stop>
        <stop position="1">
          <color rgb="FF00B050"/>
        </stop>
      </gradientFill>
    </fill>
    <fill>
      <gradientFill>
        <stop position="0">
          <color theme="0"/>
        </stop>
        <stop position="1">
          <color rgb="FF7030A0"/>
        </stop>
      </gradientFill>
    </fill>
    <fill>
      <gradientFill>
        <stop position="0">
          <color theme="0"/>
        </stop>
        <stop position="1">
          <color theme="4"/>
        </stop>
      </gradientFill>
    </fill>
    <fill>
      <patternFill patternType="solid">
        <fgColor theme="0" tint="-0.14999847407452621"/>
        <bgColor rgb="FF000000"/>
      </patternFill>
    </fill>
  </fills>
  <borders count="110">
    <border>
      <left/>
      <right/>
      <top/>
      <bottom/>
      <diagonal/>
    </border>
    <border>
      <left/>
      <right/>
      <top style="thin">
        <color auto="1"/>
      </top>
      <bottom style="double">
        <color auto="1"/>
      </bottom>
      <diagonal/>
    </border>
    <border>
      <left/>
      <right/>
      <top style="double">
        <color auto="1"/>
      </top>
      <bottom/>
      <diagonal/>
    </border>
    <border>
      <left/>
      <right/>
      <top style="double">
        <color indexed="8"/>
      </top>
      <bottom/>
      <diagonal/>
    </border>
    <border>
      <left/>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medium">
        <color auto="1"/>
      </bottom>
      <diagonal/>
    </border>
    <border>
      <left/>
      <right style="medium">
        <color indexed="64"/>
      </right>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bottom style="dashed">
        <color indexed="64"/>
      </bottom>
      <diagonal/>
    </border>
    <border>
      <left/>
      <right/>
      <top/>
      <bottom style="dashed">
        <color indexed="64"/>
      </bottom>
      <diagonal/>
    </border>
    <border>
      <left style="medium">
        <color indexed="64"/>
      </left>
      <right/>
      <top/>
      <bottom style="dashed">
        <color indexed="64"/>
      </bottom>
      <diagonal/>
    </border>
    <border>
      <left/>
      <right style="medium">
        <color indexed="64"/>
      </right>
      <top/>
      <bottom style="dashed">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s>
  <cellStyleXfs count="317">
    <xf numFmtId="0" fontId="0" fillId="0" borderId="0"/>
    <xf numFmtId="9" fontId="1" fillId="0" borderId="0" applyFont="0" applyFill="0" applyBorder="0" applyAlignment="0" applyProtection="0"/>
    <xf numFmtId="0" fontId="2" fillId="0" borderId="0"/>
    <xf numFmtId="0" fontId="7" fillId="0" borderId="0">
      <protection locked="0"/>
    </xf>
    <xf numFmtId="0" fontId="7" fillId="0" borderId="0">
      <protection locked="0"/>
    </xf>
    <xf numFmtId="166" fontId="3" fillId="0" borderId="0" applyFont="0" applyFill="0" applyBorder="0" applyAlignment="0" applyProtection="0"/>
    <xf numFmtId="0" fontId="7" fillId="0" borderId="0">
      <protection locked="0"/>
    </xf>
    <xf numFmtId="41" fontId="3" fillId="0" borderId="0" applyFont="0" applyFill="0" applyBorder="0" applyAlignment="0" applyProtection="0"/>
    <xf numFmtId="0" fontId="8" fillId="0" borderId="0" applyNumberFormat="0" applyFill="0" applyBorder="0">
      <protection locked="0"/>
    </xf>
    <xf numFmtId="0" fontId="5" fillId="0" borderId="0"/>
    <xf numFmtId="165"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0" fillId="0" borderId="0"/>
    <xf numFmtId="0" fontId="11" fillId="0" borderId="0">
      <protection locked="0"/>
    </xf>
    <xf numFmtId="0" fontId="11" fillId="0" borderId="0">
      <protection locked="0"/>
    </xf>
    <xf numFmtId="170" fontId="11" fillId="0" borderId="0">
      <protection locked="0"/>
    </xf>
    <xf numFmtId="0" fontId="11" fillId="0" borderId="0">
      <protection locked="0"/>
    </xf>
    <xf numFmtId="0" fontId="7" fillId="0" borderId="0">
      <protection locked="0"/>
    </xf>
    <xf numFmtId="0" fontId="7" fillId="0" borderId="0">
      <protection locked="0"/>
    </xf>
    <xf numFmtId="0" fontId="11" fillId="0" borderId="0">
      <protection locked="0"/>
    </xf>
    <xf numFmtId="0" fontId="11" fillId="0" borderId="1">
      <protection locked="0"/>
    </xf>
    <xf numFmtId="0" fontId="6" fillId="0" borderId="0"/>
    <xf numFmtId="0" fontId="11" fillId="0" borderId="0">
      <protection locked="0"/>
    </xf>
    <xf numFmtId="0" fontId="7" fillId="0" borderId="0">
      <protection locked="0"/>
    </xf>
    <xf numFmtId="0" fontId="11" fillId="0" borderId="0">
      <protection locked="0"/>
    </xf>
    <xf numFmtId="0" fontId="7" fillId="0" borderId="0">
      <protection locked="0"/>
    </xf>
    <xf numFmtId="0" fontId="10" fillId="0" borderId="0" applyFont="0" applyFill="0" applyBorder="0" applyAlignment="0" applyProtection="0"/>
    <xf numFmtId="3" fontId="10" fillId="0" borderId="0" applyFont="0" applyFill="0" applyBorder="0" applyAlignment="0" applyProtection="0"/>
    <xf numFmtId="0" fontId="11" fillId="0" borderId="0">
      <protection locked="0"/>
    </xf>
    <xf numFmtId="0" fontId="11" fillId="0" borderId="0">
      <protection locked="0"/>
    </xf>
    <xf numFmtId="5" fontId="10" fillId="0" borderId="0" applyFont="0" applyFill="0" applyBorder="0" applyAlignment="0" applyProtection="0"/>
    <xf numFmtId="2" fontId="10" fillId="0" borderId="0" applyFont="0" applyFill="0" applyBorder="0" applyAlignment="0" applyProtection="0"/>
    <xf numFmtId="164" fontId="3" fillId="0" borderId="0" applyFont="0" applyFill="0" applyBorder="0" applyAlignment="0" applyProtection="0"/>
    <xf numFmtId="0" fontId="2" fillId="0" borderId="0">
      <alignment vertical="center"/>
    </xf>
    <xf numFmtId="0" fontId="12" fillId="0" borderId="0" applyNumberFormat="0" applyFill="0" applyBorder="0" applyAlignment="0" applyProtection="0"/>
    <xf numFmtId="0" fontId="6" fillId="0" borderId="0"/>
    <xf numFmtId="0" fontId="13" fillId="0" borderId="0"/>
    <xf numFmtId="168" fontId="14" fillId="0" borderId="0"/>
    <xf numFmtId="0" fontId="7" fillId="0" borderId="0">
      <protection locked="0"/>
    </xf>
    <xf numFmtId="0" fontId="7" fillId="0" borderId="0">
      <protection locked="0"/>
    </xf>
    <xf numFmtId="0" fontId="13" fillId="0" borderId="0"/>
    <xf numFmtId="0" fontId="13" fillId="0" borderId="0"/>
    <xf numFmtId="0" fontId="13" fillId="0" borderId="0"/>
    <xf numFmtId="168" fontId="14" fillId="0" borderId="0"/>
    <xf numFmtId="0" fontId="7" fillId="0" borderId="2">
      <protection locked="0"/>
    </xf>
    <xf numFmtId="168" fontId="14" fillId="0" borderId="0"/>
    <xf numFmtId="0" fontId="12" fillId="0" borderId="0" applyNumberFormat="0" applyFill="0" applyBorder="0" applyAlignment="0" applyProtection="0"/>
    <xf numFmtId="0" fontId="13" fillId="0" borderId="0"/>
    <xf numFmtId="0" fontId="3" fillId="0" borderId="0"/>
    <xf numFmtId="0" fontId="15" fillId="0" borderId="0" applyNumberFormat="0" applyFill="0" applyBorder="0">
      <protection locked="0"/>
    </xf>
    <xf numFmtId="0" fontId="3" fillId="0" borderId="0"/>
    <xf numFmtId="0" fontId="15" fillId="0" borderId="0" applyNumberFormat="0" applyFill="0" applyBorder="0">
      <protection locked="0"/>
    </xf>
    <xf numFmtId="0" fontId="13" fillId="0" borderId="0"/>
    <xf numFmtId="0" fontId="3" fillId="0" borderId="0"/>
    <xf numFmtId="0" fontId="15" fillId="0" borderId="0" applyNumberFormat="0" applyFill="0" applyBorder="0">
      <protection locked="0"/>
    </xf>
    <xf numFmtId="0" fontId="13" fillId="0" borderId="0"/>
    <xf numFmtId="0" fontId="3" fillId="0" borderId="0"/>
    <xf numFmtId="0" fontId="15" fillId="0" borderId="0" applyNumberFormat="0" applyFill="0" applyBorder="0">
      <protection locked="0"/>
    </xf>
    <xf numFmtId="0" fontId="13" fillId="0" borderId="0"/>
    <xf numFmtId="0" fontId="9" fillId="0" borderId="0"/>
    <xf numFmtId="0" fontId="3" fillId="0" borderId="0"/>
    <xf numFmtId="0" fontId="15" fillId="0" borderId="0" applyNumberFormat="0" applyFill="0" applyBorder="0">
      <protection locked="0"/>
    </xf>
    <xf numFmtId="0" fontId="13" fillId="0" borderId="0"/>
    <xf numFmtId="0" fontId="3" fillId="0" borderId="0"/>
    <xf numFmtId="0" fontId="15" fillId="0" borderId="0" applyNumberFormat="0" applyFill="0" applyBorder="0">
      <protection locked="0"/>
    </xf>
    <xf numFmtId="0" fontId="3" fillId="0" borderId="0"/>
    <xf numFmtId="0" fontId="15" fillId="0" borderId="0" applyNumberFormat="0" applyFill="0" applyBorder="0">
      <protection locked="0"/>
    </xf>
    <xf numFmtId="0" fontId="11" fillId="0" borderId="0">
      <protection locked="0"/>
    </xf>
    <xf numFmtId="0" fontId="11" fillId="0" borderId="0">
      <protection locked="0"/>
    </xf>
    <xf numFmtId="171" fontId="10" fillId="0" borderId="0" applyFont="0" applyFill="0" applyBorder="0" applyAlignment="0" applyProtection="0"/>
    <xf numFmtId="3" fontId="10" fillId="0" borderId="0" applyFont="0" applyFill="0" applyBorder="0" applyAlignment="0" applyProtection="0"/>
    <xf numFmtId="0" fontId="10" fillId="0" borderId="0" applyFont="0" applyFill="0" applyBorder="0" applyAlignment="0" applyProtection="0"/>
    <xf numFmtId="0" fontId="10" fillId="0" borderId="2" applyNumberFormat="0" applyFont="0" applyFill="0" applyAlignment="0" applyProtection="0"/>
    <xf numFmtId="169" fontId="4" fillId="0" borderId="0"/>
    <xf numFmtId="2" fontId="10"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0" borderId="0">
      <alignment vertical="top"/>
    </xf>
    <xf numFmtId="0" fontId="3" fillId="0" borderId="3" applyNumberFormat="0" applyFont="0" applyFill="0" applyAlignment="0" applyProtection="0"/>
    <xf numFmtId="0" fontId="3" fillId="0" borderId="0" applyFont="0" applyFill="0" applyBorder="0" applyAlignment="0" applyProtection="0"/>
    <xf numFmtId="3" fontId="3" fillId="0" borderId="0" applyFont="0" applyFill="0" applyBorder="0" applyAlignment="0" applyProtection="0"/>
    <xf numFmtId="5" fontId="3" fillId="0" borderId="0" applyFont="0" applyFill="0" applyBorder="0" applyAlignment="0" applyProtection="0"/>
    <xf numFmtId="2" fontId="3"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2" fontId="3" fillId="0" borderId="0" applyFont="0" applyFill="0" applyBorder="0" applyAlignment="0" applyProtection="0"/>
    <xf numFmtId="5" fontId="3" fillId="0" borderId="0" applyFont="0" applyFill="0" applyBorder="0" applyAlignment="0" applyProtection="0"/>
    <xf numFmtId="3" fontId="3" fillId="0" borderId="0" applyFont="0" applyFill="0" applyBorder="0" applyAlignment="0" applyProtection="0"/>
    <xf numFmtId="0" fontId="3" fillId="0" borderId="0" applyFont="0" applyFill="0" applyBorder="0" applyAlignment="0" applyProtection="0"/>
    <xf numFmtId="0" fontId="3" fillId="0" borderId="3" applyNumberFormat="0" applyFont="0" applyFill="0" applyAlignment="0" applyProtection="0"/>
    <xf numFmtId="0" fontId="10" fillId="3" borderId="3" applyNumberFormat="0" applyFont="0" applyFill="0" applyAlignment="0" applyProtection="0"/>
    <xf numFmtId="0" fontId="10" fillId="3" borderId="0" applyFont="0" applyFill="0" applyBorder="0" applyAlignment="0" applyProtection="0"/>
    <xf numFmtId="3" fontId="10" fillId="3" borderId="0" applyFont="0" applyFill="0" applyBorder="0" applyAlignment="0" applyProtection="0"/>
    <xf numFmtId="172" fontId="10" fillId="3" borderId="0" applyFont="0" applyFill="0" applyBorder="0" applyAlignment="0" applyProtection="0"/>
    <xf numFmtId="2" fontId="10" fillId="3" borderId="0" applyFont="0" applyFill="0" applyBorder="0" applyAlignment="0" applyProtection="0"/>
    <xf numFmtId="0" fontId="16" fillId="3" borderId="0" applyNumberFormat="0" applyFill="0" applyBorder="0" applyAlignment="0" applyProtection="0"/>
    <xf numFmtId="0" fontId="17" fillId="3" borderId="0" applyNumberFormat="0" applyFill="0" applyBorder="0" applyAlignment="0" applyProtection="0"/>
    <xf numFmtId="168" fontId="4" fillId="0" borderId="0"/>
    <xf numFmtId="0" fontId="11" fillId="0" borderId="0">
      <protection locked="0"/>
    </xf>
    <xf numFmtId="0" fontId="7" fillId="0" borderId="0">
      <protection locked="0"/>
    </xf>
    <xf numFmtId="0" fontId="11" fillId="0" borderId="0">
      <protection locked="0"/>
    </xf>
    <xf numFmtId="0" fontId="7" fillId="0" borderId="0">
      <protection locked="0"/>
    </xf>
    <xf numFmtId="170" fontId="11" fillId="0" borderId="0">
      <protection locked="0"/>
    </xf>
    <xf numFmtId="0" fontId="11" fillId="0" borderId="0">
      <protection locked="0"/>
    </xf>
    <xf numFmtId="0" fontId="11" fillId="0" borderId="0">
      <protection locked="0"/>
    </xf>
    <xf numFmtId="0" fontId="11" fillId="0" borderId="0">
      <protection locked="0"/>
    </xf>
    <xf numFmtId="0" fontId="7" fillId="0" borderId="0">
      <protection locked="0"/>
    </xf>
    <xf numFmtId="0" fontId="7" fillId="0" borderId="0">
      <protection locked="0"/>
    </xf>
    <xf numFmtId="0" fontId="11" fillId="0" borderId="0">
      <protection locked="0"/>
    </xf>
    <xf numFmtId="0" fontId="11" fillId="0" borderId="1">
      <protection locked="0"/>
    </xf>
    <xf numFmtId="0" fontId="2"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4" fillId="0" borderId="0"/>
    <xf numFmtId="0" fontId="1" fillId="0" borderId="0"/>
    <xf numFmtId="0" fontId="6" fillId="0" borderId="0"/>
    <xf numFmtId="0" fontId="26" fillId="0" borderId="0">
      <protection locked="0"/>
    </xf>
    <xf numFmtId="0" fontId="26" fillId="0" borderId="0">
      <protection locked="0"/>
    </xf>
    <xf numFmtId="0" fontId="26" fillId="0" borderId="0">
      <protection locked="0"/>
    </xf>
    <xf numFmtId="174" fontId="32" fillId="0" borderId="0" applyProtection="0">
      <alignment wrapText="1"/>
    </xf>
    <xf numFmtId="174" fontId="32" fillId="0" borderId="0" applyProtection="0">
      <alignment wrapText="1"/>
    </xf>
    <xf numFmtId="174" fontId="32" fillId="0" borderId="0" applyProtection="0">
      <alignment wrapText="1"/>
    </xf>
    <xf numFmtId="175" fontId="32" fillId="0" borderId="0"/>
    <xf numFmtId="176" fontId="33" fillId="0" borderId="0" applyProtection="0"/>
    <xf numFmtId="176" fontId="32" fillId="0" borderId="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5" fillId="7"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3" borderId="0" applyNumberFormat="0" applyBorder="0" applyAlignment="0" applyProtection="0"/>
    <xf numFmtId="0" fontId="35" fillId="7" borderId="0" applyNumberFormat="0" applyBorder="0" applyAlignment="0" applyProtection="0"/>
    <xf numFmtId="0" fontId="35" fillId="9" borderId="0" applyNumberFormat="0" applyBorder="0" applyAlignment="0" applyProtection="0"/>
    <xf numFmtId="177" fontId="33" fillId="0" borderId="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7"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5" fillId="7"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1" borderId="0" applyNumberFormat="0" applyBorder="0" applyAlignment="0" applyProtection="0"/>
    <xf numFmtId="0" fontId="35" fillId="9" borderId="0" applyNumberFormat="0" applyBorder="0" applyAlignment="0" applyProtection="0"/>
    <xf numFmtId="0" fontId="36" fillId="17"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5" borderId="0" applyNumberFormat="0" applyBorder="0" applyAlignment="0" applyProtection="0"/>
    <xf numFmtId="0" fontId="37" fillId="16" borderId="0" applyNumberFormat="0" applyBorder="0" applyAlignment="0" applyProtection="0"/>
    <xf numFmtId="0" fontId="37" fillId="11" borderId="0" applyNumberFormat="0" applyBorder="0" applyAlignment="0" applyProtection="0"/>
    <xf numFmtId="0" fontId="37" fillId="9" borderId="0" applyNumberFormat="0" applyBorder="0" applyAlignment="0" applyProtection="0"/>
    <xf numFmtId="0" fontId="37" fillId="19" borderId="0" applyNumberFormat="0" applyBorder="0" applyAlignment="0" applyProtection="0"/>
    <xf numFmtId="0" fontId="34" fillId="21" borderId="0" applyNumberFormat="0" applyBorder="0" applyAlignment="0" applyProtection="0"/>
    <xf numFmtId="0" fontId="34" fillId="16" borderId="0" applyNumberFormat="0" applyBorder="0" applyAlignment="0" applyProtection="0"/>
    <xf numFmtId="0" fontId="36" fillId="22" borderId="0" applyNumberFormat="0" applyBorder="0" applyAlignment="0" applyProtection="0"/>
    <xf numFmtId="0" fontId="37" fillId="23" borderId="0" applyNumberFormat="0" applyBorder="0" applyAlignment="0" applyProtection="0"/>
    <xf numFmtId="0" fontId="34" fillId="4" borderId="0" applyNumberFormat="0" applyBorder="0" applyAlignment="0" applyProtection="0"/>
    <xf numFmtId="0" fontId="34" fillId="24" borderId="0" applyNumberFormat="0" applyBorder="0" applyAlignment="0" applyProtection="0"/>
    <xf numFmtId="0" fontId="36" fillId="5" borderId="0" applyNumberFormat="0" applyBorder="0" applyAlignment="0" applyProtection="0"/>
    <xf numFmtId="0" fontId="37" fillId="25" borderId="0" applyNumberFormat="0" applyBorder="0" applyAlignment="0" applyProtection="0"/>
    <xf numFmtId="0" fontId="34" fillId="26" borderId="0" applyNumberFormat="0" applyBorder="0" applyAlignment="0" applyProtection="0"/>
    <xf numFmtId="0" fontId="34" fillId="13" borderId="0" applyNumberFormat="0" applyBorder="0" applyAlignment="0" applyProtection="0"/>
    <xf numFmtId="0" fontId="36" fillId="27" borderId="0" applyNumberFormat="0" applyBorder="0" applyAlignment="0" applyProtection="0"/>
    <xf numFmtId="0" fontId="37" fillId="28" borderId="0" applyNumberFormat="0" applyBorder="0" applyAlignment="0" applyProtection="0"/>
    <xf numFmtId="0" fontId="34" fillId="4" borderId="0" applyNumberFormat="0" applyBorder="0" applyAlignment="0" applyProtection="0"/>
    <xf numFmtId="0" fontId="34" fillId="29" borderId="0" applyNumberFormat="0" applyBorder="0" applyAlignment="0" applyProtection="0"/>
    <xf numFmtId="0" fontId="36" fillId="24" borderId="0" applyNumberFormat="0" applyBorder="0" applyAlignment="0" applyProtection="0"/>
    <xf numFmtId="0" fontId="37" fillId="19" borderId="0" applyNumberFormat="0" applyBorder="0" applyAlignment="0" applyProtection="0"/>
    <xf numFmtId="0" fontId="34" fillId="30" borderId="0" applyNumberFormat="0" applyBorder="0" applyAlignment="0" applyProtection="0"/>
    <xf numFmtId="0" fontId="34" fillId="28" borderId="0" applyNumberFormat="0" applyBorder="0" applyAlignment="0" applyProtection="0"/>
    <xf numFmtId="0" fontId="36" fillId="22" borderId="0" applyNumberFormat="0" applyBorder="0" applyAlignment="0" applyProtection="0"/>
    <xf numFmtId="0" fontId="37" fillId="31" borderId="0" applyNumberFormat="0" applyBorder="0" applyAlignment="0" applyProtection="0"/>
    <xf numFmtId="0" fontId="34" fillId="10" borderId="0" applyNumberFormat="0" applyBorder="0" applyAlignment="0" applyProtection="0"/>
    <xf numFmtId="0" fontId="34" fillId="9" borderId="0" applyNumberFormat="0" applyBorder="0" applyAlignment="0" applyProtection="0"/>
    <xf numFmtId="0" fontId="36" fillId="14" borderId="0" applyNumberFormat="0" applyBorder="0" applyAlignment="0" applyProtection="0"/>
    <xf numFmtId="0" fontId="38" fillId="5" borderId="0" applyNumberFormat="0" applyBorder="0" applyAlignment="0" applyProtection="0"/>
    <xf numFmtId="0" fontId="39" fillId="3" borderId="18" applyNumberFormat="0" applyAlignment="0" applyProtection="0"/>
    <xf numFmtId="0" fontId="10" fillId="0" borderId="3" applyNumberFormat="0" applyFont="0" applyFill="0" applyAlignment="0" applyProtection="0"/>
    <xf numFmtId="0" fontId="27" fillId="0" borderId="0">
      <protection locked="0"/>
    </xf>
    <xf numFmtId="0" fontId="27" fillId="0" borderId="0">
      <protection locked="0"/>
    </xf>
    <xf numFmtId="165" fontId="34" fillId="0" borderId="0" applyFont="0" applyFill="0" applyBorder="0" applyAlignment="0" applyProtection="0"/>
    <xf numFmtId="170" fontId="26" fillId="0" borderId="0">
      <protection locked="0"/>
    </xf>
    <xf numFmtId="0" fontId="40" fillId="32" borderId="0" applyNumberFormat="0" applyBorder="0" applyAlignment="0" applyProtection="0"/>
    <xf numFmtId="0" fontId="40" fillId="33" borderId="0" applyNumberFormat="0" applyBorder="0" applyAlignment="0" applyProtection="0"/>
    <xf numFmtId="0" fontId="40" fillId="34" borderId="0" applyNumberFormat="0" applyBorder="0" applyAlignment="0" applyProtection="0"/>
    <xf numFmtId="0" fontId="41" fillId="0" borderId="0" applyNumberFormat="0" applyFill="0" applyBorder="0" applyAlignment="0" applyProtection="0"/>
    <xf numFmtId="0" fontId="26" fillId="0" borderId="0">
      <protection locked="0"/>
    </xf>
    <xf numFmtId="0" fontId="42" fillId="6" borderId="0" applyNumberFormat="0" applyBorder="0" applyAlignment="0" applyProtection="0"/>
    <xf numFmtId="0" fontId="26" fillId="0" borderId="0">
      <protection locked="0"/>
    </xf>
    <xf numFmtId="0" fontId="26" fillId="0" borderId="0">
      <protection locked="0"/>
    </xf>
    <xf numFmtId="0" fontId="43" fillId="0" borderId="19" applyNumberFormat="0" applyFill="0" applyAlignment="0" applyProtection="0"/>
    <xf numFmtId="0" fontId="43" fillId="0" borderId="0" applyNumberFormat="0" applyFill="0" applyBorder="0" applyAlignment="0" applyProtection="0"/>
    <xf numFmtId="0" fontId="27" fillId="0" borderId="0">
      <protection locked="0"/>
    </xf>
    <xf numFmtId="0" fontId="27" fillId="0" borderId="0">
      <protection locked="0"/>
    </xf>
    <xf numFmtId="0" fontId="25" fillId="0" borderId="0" applyNumberFormat="0" applyFill="0" applyBorder="0">
      <protection locked="0"/>
    </xf>
    <xf numFmtId="0" fontId="44" fillId="29" borderId="20" applyNumberFormat="0" applyAlignment="0" applyProtection="0"/>
    <xf numFmtId="0" fontId="45" fillId="5" borderId="0" applyNumberFormat="0" applyBorder="0" applyAlignment="0" applyProtection="0"/>
    <xf numFmtId="0" fontId="46" fillId="9" borderId="18" applyNumberFormat="0" applyAlignment="0" applyProtection="0"/>
    <xf numFmtId="0" fontId="47" fillId="29" borderId="20" applyNumberFormat="0" applyAlignment="0" applyProtection="0"/>
    <xf numFmtId="0" fontId="48" fillId="0" borderId="21" applyNumberFormat="0" applyFill="0" applyAlignment="0" applyProtection="0"/>
    <xf numFmtId="5" fontId="10" fillId="0" borderId="0" applyFont="0" applyFill="0" applyBorder="0" applyAlignment="0" applyProtection="0"/>
    <xf numFmtId="1" fontId="29" fillId="22" borderId="4">
      <alignment horizontal="center" vertical="center"/>
    </xf>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15" borderId="0" applyNumberFormat="0" applyBorder="0" applyAlignment="0" applyProtection="0"/>
    <xf numFmtId="0" fontId="54" fillId="15" borderId="0" applyNumberFormat="0" applyBorder="0" applyAlignment="0" applyProtection="0"/>
    <xf numFmtId="0" fontId="3" fillId="10" borderId="25" applyNumberFormat="0" applyFont="0" applyAlignment="0" applyProtection="0"/>
    <xf numFmtId="0" fontId="55" fillId="3" borderId="26" applyNumberFormat="0" applyAlignment="0" applyProtection="0"/>
    <xf numFmtId="0" fontId="10" fillId="10" borderId="25" applyNumberFormat="0" applyFont="0" applyAlignment="0" applyProtection="0"/>
    <xf numFmtId="0" fontId="56" fillId="0" borderId="21" applyNumberFormat="0" applyFill="0" applyAlignment="0" applyProtection="0"/>
    <xf numFmtId="0" fontId="57" fillId="15" borderId="27" applyNumberFormat="0" applyProtection="0">
      <alignment vertical="center"/>
    </xf>
    <xf numFmtId="0" fontId="57" fillId="15" borderId="27" applyNumberFormat="0" applyProtection="0">
      <alignment vertical="center"/>
    </xf>
    <xf numFmtId="0" fontId="57" fillId="15" borderId="27" applyNumberFormat="0" applyProtection="0">
      <alignment horizontal="left" vertical="center" indent="1"/>
    </xf>
    <xf numFmtId="0" fontId="58" fillId="15" borderId="28" applyNumberFormat="0" applyProtection="0">
      <alignment horizontal="left" vertical="top" indent="1"/>
    </xf>
    <xf numFmtId="0" fontId="28" fillId="5" borderId="27" applyNumberFormat="0" applyProtection="0">
      <alignment horizontal="right" vertical="center"/>
    </xf>
    <xf numFmtId="0" fontId="28" fillId="35" borderId="27" applyNumberFormat="0" applyProtection="0">
      <alignment horizontal="right" vertical="center"/>
    </xf>
    <xf numFmtId="0" fontId="28" fillId="23" borderId="29" applyNumberFormat="0" applyProtection="0">
      <alignment horizontal="right" vertical="center"/>
    </xf>
    <xf numFmtId="0" fontId="28" fillId="14" borderId="27" applyNumberFormat="0" applyProtection="0">
      <alignment horizontal="right" vertical="center"/>
    </xf>
    <xf numFmtId="0" fontId="28" fillId="20" borderId="27" applyNumberFormat="0" applyProtection="0">
      <alignment horizontal="right" vertical="center"/>
    </xf>
    <xf numFmtId="0" fontId="28" fillId="31" borderId="27" applyNumberFormat="0" applyProtection="0">
      <alignment horizontal="right" vertical="center"/>
    </xf>
    <xf numFmtId="0" fontId="28" fillId="25" borderId="27" applyNumberFormat="0" applyProtection="0">
      <alignment horizontal="right" vertical="center"/>
    </xf>
    <xf numFmtId="0" fontId="28" fillId="27" borderId="27" applyNumberFormat="0" applyProtection="0">
      <alignment horizontal="right" vertical="center"/>
    </xf>
    <xf numFmtId="0" fontId="28" fillId="13" borderId="27" applyNumberFormat="0" applyProtection="0">
      <alignment horizontal="right" vertical="center"/>
    </xf>
    <xf numFmtId="0" fontId="28" fillId="36" borderId="29" applyNumberFormat="0" applyProtection="0">
      <alignment horizontal="left" vertical="center" indent="1"/>
    </xf>
    <xf numFmtId="0" fontId="57" fillId="0" borderId="0"/>
    <xf numFmtId="0" fontId="28" fillId="0" borderId="0">
      <alignment horizontal="left"/>
    </xf>
    <xf numFmtId="0" fontId="59" fillId="22" borderId="0"/>
    <xf numFmtId="0" fontId="3" fillId="28" borderId="29" applyNumberFormat="0" applyProtection="0">
      <alignment horizontal="left" vertical="center" indent="1"/>
    </xf>
    <xf numFmtId="0" fontId="3" fillId="28" borderId="29" applyNumberFormat="0" applyProtection="0">
      <alignment horizontal="left" vertical="center" indent="1"/>
    </xf>
    <xf numFmtId="0" fontId="28" fillId="26" borderId="27" applyNumberFormat="0" applyProtection="0">
      <alignment horizontal="right" vertical="center"/>
    </xf>
    <xf numFmtId="0" fontId="28" fillId="30" borderId="29" applyNumberFormat="0" applyProtection="0">
      <alignment horizontal="left" vertical="center" indent="1"/>
    </xf>
    <xf numFmtId="0" fontId="28" fillId="24" borderId="29" applyNumberFormat="0" applyProtection="0">
      <alignment horizontal="left" vertical="center" indent="1"/>
    </xf>
    <xf numFmtId="0" fontId="28" fillId="16" borderId="27" applyNumberFormat="0" applyProtection="0">
      <alignment horizontal="left" vertical="center" indent="1"/>
    </xf>
    <xf numFmtId="0" fontId="28" fillId="28" borderId="28" applyNumberFormat="0" applyProtection="0">
      <alignment horizontal="left" vertical="top" indent="1"/>
    </xf>
    <xf numFmtId="0" fontId="28" fillId="37" borderId="27" applyNumberFormat="0" applyProtection="0">
      <alignment horizontal="left" vertical="center" indent="1"/>
    </xf>
    <xf numFmtId="0" fontId="28" fillId="24" borderId="28" applyNumberFormat="0" applyProtection="0">
      <alignment horizontal="left" vertical="top" indent="1"/>
    </xf>
    <xf numFmtId="0" fontId="28" fillId="11" borderId="27" applyNumberFormat="0" applyProtection="0">
      <alignment horizontal="left" vertical="center" indent="1"/>
    </xf>
    <xf numFmtId="0" fontId="28" fillId="11" borderId="28" applyNumberFormat="0" applyProtection="0">
      <alignment horizontal="left" vertical="top" indent="1"/>
    </xf>
    <xf numFmtId="0" fontId="28" fillId="30" borderId="27" applyNumberFormat="0" applyProtection="0">
      <alignment horizontal="left" vertical="center" indent="1"/>
    </xf>
    <xf numFmtId="0" fontId="28" fillId="30" borderId="28" applyNumberFormat="0" applyProtection="0">
      <alignment horizontal="left" vertical="top" indent="1"/>
    </xf>
    <xf numFmtId="0" fontId="28" fillId="19" borderId="27" applyNumberFormat="0" applyProtection="0">
      <alignment horizontal="left" vertical="center" indent="1"/>
    </xf>
    <xf numFmtId="0" fontId="28" fillId="3" borderId="30" applyNumberFormat="0">
      <protection locked="0"/>
    </xf>
    <xf numFmtId="0" fontId="57" fillId="28" borderId="31" applyBorder="0"/>
    <xf numFmtId="0" fontId="60" fillId="10" borderId="28" applyNumberFormat="0" applyProtection="0">
      <alignment vertical="center"/>
    </xf>
    <xf numFmtId="0" fontId="61" fillId="10" borderId="32" applyNumberFormat="0" applyProtection="0">
      <alignment vertical="center"/>
    </xf>
    <xf numFmtId="0" fontId="60" fillId="16" borderId="28" applyNumberFormat="0" applyProtection="0">
      <alignment horizontal="left" vertical="center" indent="1"/>
    </xf>
    <xf numFmtId="0" fontId="60" fillId="10" borderId="28" applyNumberFormat="0" applyProtection="0">
      <alignment horizontal="left" vertical="top" indent="1"/>
    </xf>
    <xf numFmtId="0" fontId="28" fillId="0" borderId="27" applyNumberFormat="0" applyProtection="0">
      <alignment horizontal="right" vertical="center"/>
    </xf>
    <xf numFmtId="0" fontId="57" fillId="0" borderId="27" applyNumberFormat="0" applyProtection="0">
      <alignment horizontal="right" vertical="center"/>
    </xf>
    <xf numFmtId="0" fontId="28" fillId="19" borderId="27" applyNumberFormat="0" applyProtection="0">
      <alignment horizontal="left" vertical="center" indent="1"/>
    </xf>
    <xf numFmtId="0" fontId="60" fillId="24" borderId="28" applyNumberFormat="0" applyProtection="0">
      <alignment horizontal="left" vertical="top" indent="1"/>
    </xf>
    <xf numFmtId="0" fontId="62" fillId="38" borderId="29" applyNumberFormat="0" applyProtection="0">
      <alignment horizontal="left" vertical="center" indent="1"/>
    </xf>
    <xf numFmtId="0" fontId="28" fillId="39" borderId="32"/>
    <xf numFmtId="0" fontId="63" fillId="3" borderId="27" applyNumberFormat="0" applyProtection="0">
      <alignment horizontal="right" vertical="center"/>
    </xf>
    <xf numFmtId="0" fontId="64" fillId="0" borderId="0" applyNumberFormat="0" applyFill="0" applyBorder="0" applyAlignment="0" applyProtection="0"/>
    <xf numFmtId="0" fontId="65" fillId="6" borderId="0" applyNumberFormat="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26" fillId="0" borderId="1">
      <protection locked="0"/>
    </xf>
    <xf numFmtId="0" fontId="68" fillId="9" borderId="18" applyNumberFormat="0" applyAlignment="0" applyProtection="0"/>
    <xf numFmtId="0" fontId="69" fillId="16" borderId="18" applyNumberFormat="0" applyAlignment="0" applyProtection="0"/>
    <xf numFmtId="0" fontId="70" fillId="16" borderId="26" applyNumberFormat="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6" fillId="40" borderId="0" applyNumberFormat="0" applyBorder="0" applyAlignment="0" applyProtection="0"/>
    <xf numFmtId="0" fontId="36" fillId="23" borderId="0" applyNumberFormat="0" applyBorder="0" applyAlignment="0" applyProtection="0"/>
    <xf numFmtId="0" fontId="36" fillId="25"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31" borderId="0" applyNumberFormat="0" applyBorder="0" applyAlignment="0" applyProtection="0"/>
    <xf numFmtId="0" fontId="3" fillId="0" borderId="0"/>
    <xf numFmtId="0" fontId="73" fillId="0" borderId="0" applyNumberFormat="0" applyFill="0" applyBorder="0">
      <protection locked="0"/>
    </xf>
    <xf numFmtId="0" fontId="10" fillId="0" borderId="3" applyNumberFormat="0" applyFont="0" applyFill="0" applyAlignment="0" applyProtection="0"/>
    <xf numFmtId="3" fontId="10" fillId="0" borderId="0"/>
    <xf numFmtId="5" fontId="10" fillId="0" borderId="0"/>
    <xf numFmtId="14" fontId="10" fillId="0" borderId="0"/>
    <xf numFmtId="2" fontId="10" fillId="0" borderId="0"/>
    <xf numFmtId="0" fontId="10" fillId="3" borderId="0" applyFont="0" applyFill="0" applyBorder="0" applyAlignment="0" applyProtection="0"/>
    <xf numFmtId="0" fontId="10" fillId="0" borderId="0"/>
    <xf numFmtId="0" fontId="3" fillId="0" borderId="0"/>
    <xf numFmtId="0" fontId="1" fillId="0" borderId="0"/>
    <xf numFmtId="0" fontId="1" fillId="0" borderId="0"/>
    <xf numFmtId="178" fontId="74" fillId="0" borderId="0"/>
    <xf numFmtId="0" fontId="10" fillId="0" borderId="0"/>
    <xf numFmtId="9" fontId="24" fillId="0" borderId="0" applyFont="0" applyFill="0" applyBorder="0" applyAlignment="0" applyProtection="0"/>
    <xf numFmtId="0" fontId="10" fillId="0" borderId="0"/>
    <xf numFmtId="0" fontId="75" fillId="41" borderId="0" applyNumberFormat="0" applyBorder="0" applyAlignment="0" applyProtection="0"/>
    <xf numFmtId="0" fontId="27" fillId="0" borderId="0">
      <protection locked="0"/>
    </xf>
    <xf numFmtId="0" fontId="27" fillId="0" borderId="0">
      <protection locked="0"/>
    </xf>
    <xf numFmtId="165" fontId="1" fillId="0" borderId="0" applyFont="0" applyFill="0" applyBorder="0" applyAlignment="0" applyProtection="0"/>
    <xf numFmtId="0" fontId="76" fillId="0" borderId="0"/>
    <xf numFmtId="0" fontId="24" fillId="42" borderId="17" applyNumberFormat="0" applyFont="0" applyAlignment="0" applyProtection="0"/>
    <xf numFmtId="0" fontId="10" fillId="0" borderId="0"/>
    <xf numFmtId="0" fontId="77" fillId="0" borderId="0"/>
    <xf numFmtId="43" fontId="1" fillId="0" borderId="0" applyFont="0" applyFill="0" applyBorder="0" applyAlignment="0" applyProtection="0"/>
  </cellStyleXfs>
  <cellXfs count="719">
    <xf numFmtId="0" fontId="0" fillId="0" borderId="0" xfId="0"/>
    <xf numFmtId="9" fontId="21" fillId="43" borderId="0" xfId="1" applyFont="1" applyFill="1" applyBorder="1" applyAlignment="1" applyProtection="1">
      <alignment horizontal="center" vertical="center"/>
      <protection hidden="1"/>
    </xf>
    <xf numFmtId="173" fontId="21" fillId="43" borderId="15" xfId="1" applyNumberFormat="1" applyFont="1" applyFill="1" applyBorder="1" applyAlignment="1" applyProtection="1">
      <alignment horizontal="center" vertical="center"/>
      <protection hidden="1"/>
    </xf>
    <xf numFmtId="9" fontId="20" fillId="43" borderId="0" xfId="1" applyFont="1" applyFill="1" applyBorder="1" applyAlignment="1" applyProtection="1">
      <alignment horizontal="center" vertical="center"/>
      <protection hidden="1"/>
    </xf>
    <xf numFmtId="9" fontId="21" fillId="2" borderId="16" xfId="1" applyFont="1" applyFill="1" applyBorder="1" applyAlignment="1" applyProtection="1">
      <alignment horizontal="center" vertical="center"/>
      <protection locked="0" hidden="1"/>
    </xf>
    <xf numFmtId="9" fontId="21" fillId="2" borderId="15" xfId="1" applyFont="1" applyFill="1" applyBorder="1" applyAlignment="1" applyProtection="1">
      <alignment horizontal="center" vertical="center"/>
      <protection locked="0" hidden="1"/>
    </xf>
    <xf numFmtId="179" fontId="21" fillId="2" borderId="15" xfId="0" applyNumberFormat="1" applyFont="1" applyFill="1" applyBorder="1" applyAlignment="1" applyProtection="1">
      <alignment horizontal="center" vertical="center"/>
      <protection locked="0" hidden="1"/>
    </xf>
    <xf numFmtId="173" fontId="21" fillId="2" borderId="15" xfId="1" applyNumberFormat="1" applyFont="1" applyFill="1" applyBorder="1" applyAlignment="1" applyProtection="1">
      <alignment horizontal="center" vertical="center"/>
      <protection locked="0" hidden="1"/>
    </xf>
    <xf numFmtId="4" fontId="83" fillId="43" borderId="0" xfId="0" applyNumberFormat="1" applyFont="1" applyFill="1" applyAlignment="1" applyProtection="1">
      <alignment horizontal="left" vertical="center"/>
      <protection hidden="1"/>
    </xf>
    <xf numFmtId="167" fontId="83" fillId="43" borderId="0" xfId="0" applyNumberFormat="1" applyFont="1" applyFill="1" applyAlignment="1" applyProtection="1">
      <alignment horizontal="right" vertical="center"/>
      <protection hidden="1"/>
    </xf>
    <xf numFmtId="4" fontId="83" fillId="43" borderId="0" xfId="0" applyNumberFormat="1" applyFont="1" applyFill="1" applyAlignment="1" applyProtection="1">
      <alignment horizontal="center" vertical="center"/>
      <protection hidden="1"/>
    </xf>
    <xf numFmtId="3" fontId="83" fillId="43" borderId="0" xfId="0" applyNumberFormat="1" applyFont="1" applyFill="1" applyAlignment="1" applyProtection="1">
      <alignment horizontal="right" vertical="center"/>
      <protection hidden="1"/>
    </xf>
    <xf numFmtId="3" fontId="83" fillId="43" borderId="0" xfId="0" applyNumberFormat="1" applyFont="1" applyFill="1" applyAlignment="1" applyProtection="1">
      <alignment vertical="center"/>
      <protection hidden="1"/>
    </xf>
    <xf numFmtId="3" fontId="83" fillId="43" borderId="0" xfId="0" applyNumberFormat="1" applyFont="1" applyFill="1" applyAlignment="1" applyProtection="1">
      <alignment horizontal="center" vertical="center"/>
      <protection hidden="1"/>
    </xf>
    <xf numFmtId="167" fontId="83" fillId="43" borderId="0" xfId="0" applyNumberFormat="1" applyFont="1" applyFill="1" applyAlignment="1" applyProtection="1">
      <alignment horizontal="right" vertical="center" indent="1"/>
      <protection hidden="1"/>
    </xf>
    <xf numFmtId="4" fontId="83" fillId="44" borderId="36" xfId="0" applyNumberFormat="1" applyFont="1" applyFill="1" applyBorder="1" applyAlignment="1" applyProtection="1">
      <alignment horizontal="left" vertical="center"/>
      <protection hidden="1"/>
    </xf>
    <xf numFmtId="4" fontId="83" fillId="43" borderId="15" xfId="0" applyNumberFormat="1" applyFont="1" applyFill="1" applyBorder="1" applyAlignment="1" applyProtection="1">
      <alignment horizontal="left" vertical="center" indent="1"/>
      <protection hidden="1"/>
    </xf>
    <xf numFmtId="167" fontId="83" fillId="43" borderId="39" xfId="0" applyNumberFormat="1" applyFont="1" applyFill="1" applyBorder="1" applyAlignment="1" applyProtection="1">
      <alignment horizontal="right" vertical="center"/>
      <protection hidden="1"/>
    </xf>
    <xf numFmtId="3" fontId="83" fillId="43" borderId="40" xfId="0" applyNumberFormat="1" applyFont="1" applyFill="1" applyBorder="1" applyAlignment="1" applyProtection="1">
      <alignment horizontal="right" vertical="center"/>
      <protection hidden="1"/>
    </xf>
    <xf numFmtId="4" fontId="83" fillId="43" borderId="39" xfId="0" applyNumberFormat="1" applyFont="1" applyFill="1" applyBorder="1" applyAlignment="1" applyProtection="1">
      <alignment horizontal="center" vertical="center"/>
      <protection hidden="1"/>
    </xf>
    <xf numFmtId="167" fontId="83" fillId="43" borderId="40" xfId="0" applyNumberFormat="1" applyFont="1" applyFill="1" applyBorder="1" applyAlignment="1" applyProtection="1">
      <alignment horizontal="right" vertical="center"/>
      <protection hidden="1"/>
    </xf>
    <xf numFmtId="167" fontId="83" fillId="43" borderId="5" xfId="0" applyNumberFormat="1" applyFont="1" applyFill="1" applyBorder="1" applyAlignment="1" applyProtection="1">
      <alignment horizontal="right" vertical="center" indent="1"/>
      <protection hidden="1"/>
    </xf>
    <xf numFmtId="4" fontId="83" fillId="43" borderId="16" xfId="0" applyNumberFormat="1" applyFont="1" applyFill="1" applyBorder="1" applyAlignment="1" applyProtection="1">
      <alignment horizontal="left" vertical="center" indent="1"/>
      <protection hidden="1"/>
    </xf>
    <xf numFmtId="4" fontId="83" fillId="43" borderId="4" xfId="0" applyNumberFormat="1" applyFont="1" applyFill="1" applyBorder="1" applyAlignment="1" applyProtection="1">
      <alignment horizontal="center" vertical="center"/>
      <protection hidden="1"/>
    </xf>
    <xf numFmtId="3" fontId="83" fillId="43" borderId="4" xfId="0" applyNumberFormat="1" applyFont="1" applyFill="1" applyBorder="1" applyAlignment="1" applyProtection="1">
      <alignment horizontal="right" vertical="center"/>
      <protection hidden="1"/>
    </xf>
    <xf numFmtId="3" fontId="83" fillId="43" borderId="42" xfId="0" applyNumberFormat="1" applyFont="1" applyFill="1" applyBorder="1" applyAlignment="1" applyProtection="1">
      <alignment horizontal="right" vertical="center"/>
      <protection hidden="1"/>
    </xf>
    <xf numFmtId="4" fontId="83" fillId="43" borderId="4" xfId="0" applyNumberFormat="1" applyFont="1" applyFill="1" applyBorder="1" applyAlignment="1" applyProtection="1">
      <alignment horizontal="left" vertical="center"/>
      <protection hidden="1"/>
    </xf>
    <xf numFmtId="4" fontId="83" fillId="43" borderId="41" xfId="0" applyNumberFormat="1" applyFont="1" applyFill="1" applyBorder="1" applyAlignment="1" applyProtection="1">
      <alignment horizontal="center" vertical="center"/>
      <protection hidden="1"/>
    </xf>
    <xf numFmtId="3" fontId="83" fillId="43" borderId="4" xfId="0" applyNumberFormat="1" applyFont="1" applyFill="1" applyBorder="1" applyAlignment="1" applyProtection="1">
      <alignment horizontal="center" vertical="center"/>
      <protection hidden="1"/>
    </xf>
    <xf numFmtId="167" fontId="83" fillId="43" borderId="42" xfId="0" applyNumberFormat="1" applyFont="1" applyFill="1" applyBorder="1" applyAlignment="1" applyProtection="1">
      <alignment horizontal="right" vertical="center"/>
      <protection hidden="1"/>
    </xf>
    <xf numFmtId="167" fontId="83" fillId="43" borderId="6" xfId="0" applyNumberFormat="1" applyFont="1" applyFill="1" applyBorder="1" applyAlignment="1" applyProtection="1">
      <alignment horizontal="right" vertical="center" indent="1"/>
      <protection hidden="1"/>
    </xf>
    <xf numFmtId="167" fontId="84" fillId="43" borderId="39" xfId="0" applyNumberFormat="1" applyFont="1" applyFill="1" applyBorder="1" applyAlignment="1" applyProtection="1">
      <alignment horizontal="right" vertical="center"/>
      <protection hidden="1"/>
    </xf>
    <xf numFmtId="4" fontId="83" fillId="43" borderId="15" xfId="0" applyNumberFormat="1" applyFont="1" applyFill="1" applyBorder="1" applyAlignment="1" applyProtection="1">
      <alignment horizontal="left" vertical="center" indent="2"/>
      <protection hidden="1"/>
    </xf>
    <xf numFmtId="3" fontId="83" fillId="43" borderId="40" xfId="0" applyNumberFormat="1" applyFont="1" applyFill="1" applyBorder="1" applyAlignment="1" applyProtection="1">
      <alignment vertical="center"/>
      <protection hidden="1"/>
    </xf>
    <xf numFmtId="3" fontId="83" fillId="43" borderId="39" xfId="0" applyNumberFormat="1" applyFont="1" applyFill="1" applyBorder="1" applyAlignment="1" applyProtection="1">
      <alignment horizontal="center" vertical="center"/>
      <protection hidden="1"/>
    </xf>
    <xf numFmtId="3" fontId="83" fillId="43" borderId="15" xfId="0" applyNumberFormat="1" applyFont="1" applyFill="1" applyBorder="1" applyAlignment="1" applyProtection="1">
      <alignment horizontal="left" vertical="center" indent="2"/>
      <protection hidden="1"/>
    </xf>
    <xf numFmtId="4" fontId="83" fillId="43" borderId="16" xfId="0" applyNumberFormat="1" applyFont="1" applyFill="1" applyBorder="1" applyAlignment="1" applyProtection="1">
      <alignment horizontal="left" vertical="center" indent="2"/>
      <protection hidden="1"/>
    </xf>
    <xf numFmtId="4" fontId="84" fillId="45" borderId="43" xfId="0" applyNumberFormat="1" applyFont="1" applyFill="1" applyBorder="1" applyAlignment="1" applyProtection="1">
      <alignment horizontal="left" vertical="center"/>
      <protection hidden="1"/>
    </xf>
    <xf numFmtId="167" fontId="84" fillId="45" borderId="6" xfId="0" applyNumberFormat="1" applyFont="1" applyFill="1" applyBorder="1" applyAlignment="1" applyProtection="1">
      <alignment horizontal="right" vertical="center" indent="1"/>
      <protection hidden="1"/>
    </xf>
    <xf numFmtId="4" fontId="84" fillId="46" borderId="16" xfId="0" applyNumberFormat="1" applyFont="1" applyFill="1" applyBorder="1" applyAlignment="1" applyProtection="1">
      <alignment horizontal="left" vertical="center"/>
      <protection hidden="1"/>
    </xf>
    <xf numFmtId="167" fontId="84" fillId="46" borderId="41" xfId="0" applyNumberFormat="1" applyFont="1" applyFill="1" applyBorder="1" applyAlignment="1" applyProtection="1">
      <alignment horizontal="right" vertical="center"/>
      <protection hidden="1"/>
    </xf>
    <xf numFmtId="4" fontId="83" fillId="46" borderId="4" xfId="0" applyNumberFormat="1" applyFont="1" applyFill="1" applyBorder="1" applyAlignment="1" applyProtection="1">
      <alignment horizontal="center" vertical="center"/>
      <protection hidden="1"/>
    </xf>
    <xf numFmtId="3" fontId="83" fillId="46" borderId="4" xfId="0" applyNumberFormat="1" applyFont="1" applyFill="1" applyBorder="1" applyAlignment="1" applyProtection="1">
      <alignment horizontal="right" vertical="center"/>
      <protection hidden="1"/>
    </xf>
    <xf numFmtId="3" fontId="83" fillId="46" borderId="42" xfId="0" applyNumberFormat="1" applyFont="1" applyFill="1" applyBorder="1" applyAlignment="1" applyProtection="1">
      <alignment horizontal="right" vertical="center"/>
      <protection hidden="1"/>
    </xf>
    <xf numFmtId="4" fontId="83" fillId="46" borderId="4" xfId="0" applyNumberFormat="1" applyFont="1" applyFill="1" applyBorder="1" applyAlignment="1" applyProtection="1">
      <alignment horizontal="left" vertical="center"/>
      <protection hidden="1"/>
    </xf>
    <xf numFmtId="4" fontId="83" fillId="46" borderId="41" xfId="0" applyNumberFormat="1" applyFont="1" applyFill="1" applyBorder="1" applyAlignment="1" applyProtection="1">
      <alignment horizontal="center" vertical="center"/>
      <protection hidden="1"/>
    </xf>
    <xf numFmtId="3" fontId="83" fillId="46" borderId="4" xfId="0" applyNumberFormat="1" applyFont="1" applyFill="1" applyBorder="1" applyAlignment="1" applyProtection="1">
      <alignment vertical="center"/>
      <protection hidden="1"/>
    </xf>
    <xf numFmtId="3" fontId="83" fillId="46" borderId="4" xfId="0" applyNumberFormat="1" applyFont="1" applyFill="1" applyBorder="1" applyAlignment="1" applyProtection="1">
      <alignment horizontal="center" vertical="center"/>
      <protection hidden="1"/>
    </xf>
    <xf numFmtId="167" fontId="84" fillId="46" borderId="42" xfId="0" applyNumberFormat="1" applyFont="1" applyFill="1" applyBorder="1" applyAlignment="1" applyProtection="1">
      <alignment horizontal="right" vertical="center"/>
      <protection hidden="1"/>
    </xf>
    <xf numFmtId="4" fontId="84" fillId="43" borderId="15" xfId="0" applyNumberFormat="1" applyFont="1" applyFill="1" applyBorder="1" applyAlignment="1" applyProtection="1">
      <alignment horizontal="left" vertical="center"/>
      <protection hidden="1"/>
    </xf>
    <xf numFmtId="4" fontId="84" fillId="43" borderId="0" xfId="0" applyNumberFormat="1" applyFont="1" applyFill="1" applyAlignment="1" applyProtection="1">
      <alignment horizontal="left" vertical="center"/>
      <protection hidden="1"/>
    </xf>
    <xf numFmtId="4" fontId="84" fillId="43" borderId="44" xfId="0" applyNumberFormat="1" applyFont="1" applyFill="1" applyBorder="1" applyAlignment="1" applyProtection="1">
      <alignment horizontal="left" vertical="center"/>
      <protection hidden="1"/>
    </xf>
    <xf numFmtId="3" fontId="84" fillId="43" borderId="38" xfId="0" applyNumberFormat="1" applyFont="1" applyFill="1" applyBorder="1" applyAlignment="1" applyProtection="1">
      <alignment horizontal="right" vertical="center"/>
      <protection hidden="1"/>
    </xf>
    <xf numFmtId="4" fontId="84" fillId="43" borderId="37" xfId="0" applyNumberFormat="1" applyFont="1" applyFill="1" applyBorder="1" applyAlignment="1" applyProtection="1">
      <alignment horizontal="center" vertical="center"/>
      <protection hidden="1"/>
    </xf>
    <xf numFmtId="3" fontId="20" fillId="2" borderId="0" xfId="1" applyNumberFormat="1" applyFont="1" applyFill="1" applyBorder="1" applyAlignment="1" applyProtection="1">
      <alignment horizontal="right" vertical="center"/>
      <protection locked="0" hidden="1"/>
    </xf>
    <xf numFmtId="180" fontId="19" fillId="2" borderId="15" xfId="0" applyNumberFormat="1" applyFont="1" applyFill="1" applyBorder="1" applyAlignment="1" applyProtection="1">
      <alignment horizontal="center" vertical="center"/>
      <protection locked="0" hidden="1"/>
    </xf>
    <xf numFmtId="186" fontId="21" fillId="2" borderId="15" xfId="0" applyNumberFormat="1" applyFont="1" applyFill="1" applyBorder="1" applyAlignment="1" applyProtection="1">
      <alignment horizontal="center" vertical="center"/>
      <protection locked="0" hidden="1"/>
    </xf>
    <xf numFmtId="4" fontId="22" fillId="43" borderId="15" xfId="1" applyNumberFormat="1" applyFont="1" applyFill="1" applyBorder="1" applyAlignment="1" applyProtection="1">
      <alignment horizontal="center" vertical="center"/>
      <protection hidden="1"/>
    </xf>
    <xf numFmtId="3" fontId="84" fillId="44" borderId="44" xfId="0" applyNumberFormat="1" applyFont="1" applyFill="1" applyBorder="1" applyAlignment="1" applyProtection="1">
      <alignment horizontal="center" vertical="center" wrapText="1"/>
      <protection hidden="1"/>
    </xf>
    <xf numFmtId="3" fontId="83" fillId="43" borderId="4" xfId="0" applyNumberFormat="1" applyFont="1" applyFill="1" applyBorder="1" applyAlignment="1" applyProtection="1">
      <alignment horizontal="left" vertical="center"/>
      <protection hidden="1"/>
    </xf>
    <xf numFmtId="4" fontId="83" fillId="43" borderId="15" xfId="0" applyNumberFormat="1" applyFont="1" applyFill="1" applyBorder="1" applyAlignment="1" applyProtection="1">
      <alignment horizontal="left" vertical="center" indent="3"/>
      <protection hidden="1"/>
    </xf>
    <xf numFmtId="167" fontId="83" fillId="43" borderId="4" xfId="0" applyNumberFormat="1" applyFont="1" applyFill="1" applyBorder="1" applyAlignment="1" applyProtection="1">
      <alignment horizontal="right" vertical="center"/>
      <protection hidden="1"/>
    </xf>
    <xf numFmtId="167" fontId="84" fillId="46" borderId="6" xfId="0" applyNumberFormat="1" applyFont="1" applyFill="1" applyBorder="1" applyAlignment="1" applyProtection="1">
      <alignment horizontal="right" vertical="center" indent="1"/>
      <protection hidden="1"/>
    </xf>
    <xf numFmtId="191" fontId="83" fillId="43" borderId="4" xfId="0" applyNumberFormat="1" applyFont="1" applyFill="1" applyBorder="1" applyAlignment="1" applyProtection="1">
      <alignment horizontal="center" vertical="center"/>
      <protection hidden="1"/>
    </xf>
    <xf numFmtId="167" fontId="83" fillId="0" borderId="40" xfId="0" applyNumberFormat="1" applyFont="1" applyBorder="1" applyAlignment="1" applyProtection="1">
      <alignment horizontal="right" vertical="center"/>
      <protection hidden="1"/>
    </xf>
    <xf numFmtId="167" fontId="83" fillId="43" borderId="41" xfId="0" applyNumberFormat="1" applyFont="1" applyFill="1" applyBorder="1" applyAlignment="1" applyProtection="1">
      <alignment horizontal="right" vertical="center"/>
      <protection hidden="1"/>
    </xf>
    <xf numFmtId="167" fontId="79" fillId="43" borderId="40" xfId="0" applyNumberFormat="1" applyFont="1" applyFill="1" applyBorder="1" applyAlignment="1" applyProtection="1">
      <alignment horizontal="right" vertical="center"/>
      <protection hidden="1"/>
    </xf>
    <xf numFmtId="4" fontId="83" fillId="43" borderId="15" xfId="0" applyNumberFormat="1" applyFont="1" applyFill="1" applyBorder="1" applyAlignment="1" applyProtection="1">
      <alignment horizontal="left" vertical="center" wrapText="1" indent="1"/>
      <protection hidden="1"/>
    </xf>
    <xf numFmtId="167" fontId="86" fillId="2" borderId="9" xfId="0" applyNumberFormat="1" applyFont="1" applyFill="1" applyBorder="1" applyAlignment="1" applyProtection="1">
      <alignment horizontal="right" vertical="center"/>
      <protection hidden="1"/>
    </xf>
    <xf numFmtId="167" fontId="82" fillId="2" borderId="8" xfId="0" applyNumberFormat="1" applyFont="1" applyFill="1" applyBorder="1" applyAlignment="1" applyProtection="1">
      <alignment horizontal="right" vertical="center"/>
      <protection hidden="1"/>
    </xf>
    <xf numFmtId="167" fontId="82" fillId="2" borderId="10" xfId="0" applyNumberFormat="1" applyFont="1" applyFill="1" applyBorder="1" applyAlignment="1" applyProtection="1">
      <alignment horizontal="right" vertical="center"/>
      <protection hidden="1"/>
    </xf>
    <xf numFmtId="193" fontId="84" fillId="43" borderId="0" xfId="0" applyNumberFormat="1" applyFont="1" applyFill="1" applyAlignment="1" applyProtection="1">
      <alignment horizontal="center" vertical="center"/>
      <protection hidden="1"/>
    </xf>
    <xf numFmtId="167" fontId="84" fillId="45" borderId="47" xfId="0" applyNumberFormat="1" applyFont="1" applyFill="1" applyBorder="1" applyAlignment="1" applyProtection="1">
      <alignment horizontal="right" vertical="center" indent="1"/>
      <protection hidden="1"/>
    </xf>
    <xf numFmtId="167" fontId="84" fillId="43" borderId="40" xfId="0" applyNumberFormat="1" applyFont="1" applyFill="1" applyBorder="1" applyAlignment="1" applyProtection="1">
      <alignment horizontal="right" vertical="center"/>
      <protection hidden="1"/>
    </xf>
    <xf numFmtId="0" fontId="90" fillId="0" borderId="0" xfId="0" applyFont="1"/>
    <xf numFmtId="0" fontId="20" fillId="43" borderId="0" xfId="0" applyFont="1" applyFill="1" applyAlignment="1">
      <alignment vertical="center"/>
    </xf>
    <xf numFmtId="0" fontId="79" fillId="43" borderId="0" xfId="0" applyFont="1" applyFill="1" applyAlignment="1">
      <alignment vertical="center"/>
    </xf>
    <xf numFmtId="0" fontId="23" fillId="43" borderId="0" xfId="0" applyFont="1" applyFill="1" applyAlignment="1">
      <alignment vertical="center"/>
    </xf>
    <xf numFmtId="0" fontId="22" fillId="43" borderId="0" xfId="0" applyFont="1" applyFill="1" applyAlignment="1">
      <alignment horizontal="center" vertical="center"/>
    </xf>
    <xf numFmtId="0" fontId="81" fillId="43" borderId="0" xfId="0" applyFont="1" applyFill="1" applyAlignment="1">
      <alignment vertical="center"/>
    </xf>
    <xf numFmtId="0" fontId="22" fillId="43" borderId="0" xfId="0" applyFont="1" applyFill="1" applyAlignment="1">
      <alignment vertical="center"/>
    </xf>
    <xf numFmtId="167" fontId="22" fillId="43" borderId="0" xfId="0" applyNumberFormat="1" applyFont="1" applyFill="1" applyAlignment="1">
      <alignment horizontal="left" vertical="center" wrapText="1"/>
    </xf>
    <xf numFmtId="0" fontId="22" fillId="43" borderId="0" xfId="0" applyFont="1" applyFill="1" applyAlignment="1">
      <alignment horizontal="center" vertical="center" wrapText="1"/>
    </xf>
    <xf numFmtId="0" fontId="21" fillId="43" borderId="7" xfId="0" applyFont="1" applyFill="1" applyBorder="1" applyAlignment="1" applyProtection="1">
      <alignment vertical="center"/>
      <protection hidden="1"/>
    </xf>
    <xf numFmtId="3" fontId="79" fillId="43" borderId="9" xfId="1" applyNumberFormat="1" applyFont="1" applyFill="1" applyBorder="1" applyAlignment="1" applyProtection="1">
      <alignment horizontal="center" vertical="center"/>
      <protection hidden="1"/>
    </xf>
    <xf numFmtId="187" fontId="22" fillId="43" borderId="9" xfId="1" applyNumberFormat="1" applyFont="1" applyFill="1" applyBorder="1" applyAlignment="1" applyProtection="1">
      <alignment horizontal="center" vertical="center"/>
      <protection hidden="1"/>
    </xf>
    <xf numFmtId="167" fontId="21" fillId="43" borderId="9" xfId="1" applyNumberFormat="1" applyFont="1" applyFill="1" applyBorder="1" applyAlignment="1" applyProtection="1">
      <alignment horizontal="right" vertical="center"/>
      <protection hidden="1"/>
    </xf>
    <xf numFmtId="167" fontId="21" fillId="43" borderId="7" xfId="1" applyNumberFormat="1" applyFont="1" applyFill="1" applyBorder="1" applyAlignment="1" applyProtection="1">
      <alignment horizontal="center" vertical="center"/>
      <protection hidden="1"/>
    </xf>
    <xf numFmtId="9" fontId="21" fillId="43" borderId="8" xfId="1" applyFont="1" applyFill="1" applyBorder="1" applyAlignment="1" applyProtection="1">
      <alignment horizontal="center" vertical="center"/>
      <protection hidden="1"/>
    </xf>
    <xf numFmtId="167" fontId="21" fillId="43" borderId="9" xfId="0" applyNumberFormat="1" applyFont="1" applyFill="1" applyBorder="1" applyAlignment="1" applyProtection="1">
      <alignment horizontal="right" vertical="center"/>
      <protection hidden="1"/>
    </xf>
    <xf numFmtId="167" fontId="21" fillId="43" borderId="10" xfId="0" applyNumberFormat="1" applyFont="1" applyFill="1" applyBorder="1" applyAlignment="1" applyProtection="1">
      <alignment horizontal="right" vertical="center"/>
      <protection hidden="1"/>
    </xf>
    <xf numFmtId="4" fontId="20" fillId="43" borderId="0" xfId="0" applyNumberFormat="1" applyFont="1" applyFill="1" applyAlignment="1">
      <alignment horizontal="center" vertical="center"/>
    </xf>
    <xf numFmtId="183" fontId="21" fillId="43" borderId="0" xfId="0" applyNumberFormat="1" applyFont="1" applyFill="1" applyAlignment="1">
      <alignment horizontal="center" vertical="center"/>
    </xf>
    <xf numFmtId="0" fontId="21" fillId="43" borderId="11" xfId="0" applyFont="1" applyFill="1" applyBorder="1" applyAlignment="1" applyProtection="1">
      <alignment horizontal="left" vertical="center" indent="3"/>
      <protection hidden="1"/>
    </xf>
    <xf numFmtId="9" fontId="21" fillId="43" borderId="33" xfId="1" applyFont="1" applyFill="1" applyBorder="1" applyAlignment="1" applyProtection="1">
      <alignment horizontal="center" vertical="center"/>
      <protection hidden="1"/>
    </xf>
    <xf numFmtId="167" fontId="21" fillId="43" borderId="33" xfId="1" applyNumberFormat="1" applyFont="1" applyFill="1" applyBorder="1" applyAlignment="1" applyProtection="1">
      <alignment horizontal="right" vertical="center"/>
      <protection hidden="1"/>
    </xf>
    <xf numFmtId="167" fontId="21" fillId="43" borderId="34" xfId="1" applyNumberFormat="1" applyFont="1" applyFill="1" applyBorder="1" applyAlignment="1" applyProtection="1">
      <alignment horizontal="right" vertical="center"/>
      <protection hidden="1"/>
    </xf>
    <xf numFmtId="167" fontId="21" fillId="43" borderId="6" xfId="1" applyNumberFormat="1" applyFont="1" applyFill="1" applyBorder="1" applyAlignment="1" applyProtection="1">
      <alignment horizontal="center" vertical="center"/>
      <protection hidden="1"/>
    </xf>
    <xf numFmtId="167" fontId="21" fillId="43" borderId="4" xfId="0" applyNumberFormat="1" applyFont="1" applyFill="1" applyBorder="1" applyAlignment="1" applyProtection="1">
      <alignment horizontal="right" vertical="center"/>
      <protection hidden="1"/>
    </xf>
    <xf numFmtId="167" fontId="21" fillId="43" borderId="6" xfId="0" applyNumberFormat="1" applyFont="1" applyFill="1" applyBorder="1" applyAlignment="1" applyProtection="1">
      <alignment horizontal="right" vertical="center"/>
      <protection hidden="1"/>
    </xf>
    <xf numFmtId="0" fontId="21" fillId="43" borderId="12" xfId="0" applyFont="1" applyFill="1" applyBorder="1" applyAlignment="1" applyProtection="1">
      <alignment horizontal="left" vertical="center" indent="3"/>
      <protection hidden="1"/>
    </xf>
    <xf numFmtId="167" fontId="21" fillId="43" borderId="0" xfId="1" applyNumberFormat="1" applyFont="1" applyFill="1" applyBorder="1" applyAlignment="1" applyProtection="1">
      <alignment horizontal="right" vertical="center"/>
      <protection hidden="1"/>
    </xf>
    <xf numFmtId="167" fontId="21" fillId="43" borderId="5" xfId="1" applyNumberFormat="1" applyFont="1" applyFill="1" applyBorder="1" applyAlignment="1" applyProtection="1">
      <alignment horizontal="center" vertical="center"/>
      <protection hidden="1"/>
    </xf>
    <xf numFmtId="4" fontId="21" fillId="43" borderId="0" xfId="0" applyNumberFormat="1" applyFont="1" applyFill="1" applyAlignment="1">
      <alignment horizontal="center" vertical="center"/>
    </xf>
    <xf numFmtId="0" fontId="21" fillId="43" borderId="0" xfId="0" applyFont="1" applyFill="1" applyAlignment="1">
      <alignment vertical="center"/>
    </xf>
    <xf numFmtId="3" fontId="92" fillId="43" borderId="15" xfId="1" applyNumberFormat="1" applyFont="1" applyFill="1" applyBorder="1" applyAlignment="1" applyProtection="1">
      <alignment horizontal="center" vertical="center"/>
      <protection hidden="1"/>
    </xf>
    <xf numFmtId="167" fontId="88" fillId="43" borderId="0" xfId="1" applyNumberFormat="1" applyFont="1" applyFill="1" applyBorder="1" applyAlignment="1" applyProtection="1">
      <alignment horizontal="right" vertical="center"/>
      <protection hidden="1"/>
    </xf>
    <xf numFmtId="167" fontId="88" fillId="43" borderId="0" xfId="0" applyNumberFormat="1" applyFont="1" applyFill="1" applyAlignment="1" applyProtection="1">
      <alignment horizontal="right" vertical="center"/>
      <protection hidden="1"/>
    </xf>
    <xf numFmtId="167" fontId="88" fillId="43" borderId="5" xfId="0" applyNumberFormat="1" applyFont="1" applyFill="1" applyBorder="1" applyAlignment="1" applyProtection="1">
      <alignment horizontal="right" vertical="center"/>
      <protection hidden="1"/>
    </xf>
    <xf numFmtId="3" fontId="92" fillId="43" borderId="16" xfId="1" applyNumberFormat="1" applyFont="1" applyFill="1" applyBorder="1" applyAlignment="1" applyProtection="1">
      <alignment horizontal="center" vertical="center"/>
      <protection hidden="1"/>
    </xf>
    <xf numFmtId="3" fontId="79" fillId="43" borderId="4" xfId="1" applyNumberFormat="1" applyFont="1" applyFill="1" applyBorder="1" applyAlignment="1" applyProtection="1">
      <alignment horizontal="center" vertical="center"/>
      <protection hidden="1"/>
    </xf>
    <xf numFmtId="167" fontId="88" fillId="43" borderId="4" xfId="1" applyNumberFormat="1" applyFont="1" applyFill="1" applyBorder="1" applyAlignment="1" applyProtection="1">
      <alignment horizontal="right" vertical="center"/>
      <protection hidden="1"/>
    </xf>
    <xf numFmtId="167" fontId="88" fillId="43" borderId="4" xfId="0" applyNumberFormat="1" applyFont="1" applyFill="1" applyBorder="1" applyAlignment="1" applyProtection="1">
      <alignment horizontal="right" vertical="center"/>
      <protection hidden="1"/>
    </xf>
    <xf numFmtId="167" fontId="88" fillId="43" borderId="6" xfId="0" applyNumberFormat="1" applyFont="1" applyFill="1" applyBorder="1" applyAlignment="1" applyProtection="1">
      <alignment horizontal="right" vertical="center"/>
      <protection hidden="1"/>
    </xf>
    <xf numFmtId="167" fontId="23" fillId="43" borderId="0" xfId="0" applyNumberFormat="1" applyFont="1" applyFill="1" applyAlignment="1">
      <alignment horizontal="left" vertical="center"/>
    </xf>
    <xf numFmtId="182" fontId="23" fillId="43" borderId="0" xfId="0" applyNumberFormat="1" applyFont="1" applyFill="1" applyAlignment="1">
      <alignment vertical="center"/>
    </xf>
    <xf numFmtId="167" fontId="88" fillId="43" borderId="5" xfId="1" applyNumberFormat="1" applyFont="1" applyFill="1" applyBorder="1" applyAlignment="1" applyProtection="1">
      <alignment horizontal="right" vertical="center"/>
      <protection hidden="1"/>
    </xf>
    <xf numFmtId="167" fontId="20" fillId="43" borderId="0" xfId="0" applyNumberFormat="1" applyFont="1" applyFill="1" applyAlignment="1">
      <alignment horizontal="center" vertical="center"/>
    </xf>
    <xf numFmtId="181" fontId="23" fillId="43" borderId="0" xfId="0" applyNumberFormat="1" applyFont="1" applyFill="1" applyAlignment="1">
      <alignment vertical="center"/>
    </xf>
    <xf numFmtId="167" fontId="20" fillId="43" borderId="0" xfId="0" applyNumberFormat="1" applyFont="1" applyFill="1" applyAlignment="1" applyProtection="1">
      <alignment horizontal="center" vertical="center"/>
      <protection hidden="1"/>
    </xf>
    <xf numFmtId="167" fontId="23" fillId="43" borderId="0" xfId="0" applyNumberFormat="1" applyFont="1" applyFill="1" applyAlignment="1">
      <alignment vertical="center"/>
    </xf>
    <xf numFmtId="167" fontId="21" fillId="43" borderId="0" xfId="1" applyNumberFormat="1" applyFont="1" applyFill="1" applyBorder="1" applyAlignment="1" applyProtection="1">
      <alignment horizontal="center" vertical="center"/>
      <protection hidden="1"/>
    </xf>
    <xf numFmtId="167" fontId="21" fillId="43" borderId="5" xfId="1" applyNumberFormat="1" applyFont="1" applyFill="1" applyBorder="1" applyAlignment="1" applyProtection="1">
      <alignment horizontal="right" vertical="center"/>
      <protection hidden="1"/>
    </xf>
    <xf numFmtId="167" fontId="20" fillId="43" borderId="0" xfId="1" applyNumberFormat="1" applyFont="1" applyFill="1" applyBorder="1" applyAlignment="1" applyProtection="1">
      <alignment horizontal="center" vertical="center" wrapText="1"/>
      <protection hidden="1"/>
    </xf>
    <xf numFmtId="167" fontId="20" fillId="43" borderId="0" xfId="1" applyNumberFormat="1" applyFont="1" applyFill="1" applyBorder="1" applyAlignment="1" applyProtection="1">
      <alignment horizontal="right" vertical="center"/>
      <protection hidden="1"/>
    </xf>
    <xf numFmtId="167" fontId="20" fillId="43" borderId="5" xfId="1" applyNumberFormat="1" applyFont="1" applyFill="1" applyBorder="1" applyAlignment="1" applyProtection="1">
      <alignment horizontal="right" vertical="center"/>
      <protection hidden="1"/>
    </xf>
    <xf numFmtId="167" fontId="20" fillId="43" borderId="0" xfId="0" applyNumberFormat="1" applyFont="1" applyFill="1" applyAlignment="1" applyProtection="1">
      <alignment horizontal="right" vertical="center"/>
      <protection hidden="1"/>
    </xf>
    <xf numFmtId="167" fontId="20" fillId="43" borderId="5" xfId="0" applyNumberFormat="1" applyFont="1" applyFill="1" applyBorder="1" applyAlignment="1" applyProtection="1">
      <alignment horizontal="right" vertical="center"/>
      <protection hidden="1"/>
    </xf>
    <xf numFmtId="173" fontId="20" fillId="43" borderId="0" xfId="1" applyNumberFormat="1" applyFont="1" applyFill="1" applyBorder="1" applyAlignment="1" applyProtection="1">
      <alignment horizontal="center" vertical="center"/>
      <protection hidden="1"/>
    </xf>
    <xf numFmtId="167" fontId="20" fillId="43" borderId="4" xfId="1" applyNumberFormat="1" applyFont="1" applyFill="1" applyBorder="1" applyAlignment="1" applyProtection="1">
      <alignment horizontal="right" vertical="center"/>
      <protection hidden="1"/>
    </xf>
    <xf numFmtId="167" fontId="20" fillId="43" borderId="6" xfId="1" applyNumberFormat="1" applyFont="1" applyFill="1" applyBorder="1" applyAlignment="1" applyProtection="1">
      <alignment horizontal="right" vertical="center"/>
      <protection hidden="1"/>
    </xf>
    <xf numFmtId="167" fontId="20" fillId="43" borderId="4" xfId="0" applyNumberFormat="1" applyFont="1" applyFill="1" applyBorder="1" applyAlignment="1" applyProtection="1">
      <alignment horizontal="right" vertical="center"/>
      <protection hidden="1"/>
    </xf>
    <xf numFmtId="167" fontId="20" fillId="43" borderId="6" xfId="0" applyNumberFormat="1" applyFont="1" applyFill="1" applyBorder="1" applyAlignment="1" applyProtection="1">
      <alignment horizontal="right" vertical="center"/>
      <protection hidden="1"/>
    </xf>
    <xf numFmtId="4" fontId="23" fillId="43" borderId="15" xfId="1" applyNumberFormat="1" applyFont="1" applyFill="1" applyBorder="1" applyAlignment="1" applyProtection="1">
      <alignment horizontal="center" vertical="center"/>
      <protection hidden="1"/>
    </xf>
    <xf numFmtId="167" fontId="20" fillId="43" borderId="0" xfId="1" applyNumberFormat="1" applyFont="1" applyFill="1" applyBorder="1" applyAlignment="1" applyProtection="1">
      <alignment horizontal="center" vertical="center"/>
      <protection hidden="1"/>
    </xf>
    <xf numFmtId="167" fontId="21" fillId="43" borderId="15" xfId="0" applyNumberFormat="1" applyFont="1" applyFill="1" applyBorder="1" applyAlignment="1" applyProtection="1">
      <alignment horizontal="center" vertical="center"/>
      <protection hidden="1"/>
    </xf>
    <xf numFmtId="167" fontId="21" fillId="43" borderId="0" xfId="0" applyNumberFormat="1" applyFont="1" applyFill="1" applyAlignment="1" applyProtection="1">
      <alignment horizontal="right" vertical="center"/>
      <protection hidden="1"/>
    </xf>
    <xf numFmtId="167" fontId="21" fillId="43" borderId="5" xfId="0" applyNumberFormat="1" applyFont="1" applyFill="1" applyBorder="1" applyAlignment="1" applyProtection="1">
      <alignment horizontal="right" vertical="center"/>
      <protection hidden="1"/>
    </xf>
    <xf numFmtId="4" fontId="79" fillId="43" borderId="15" xfId="1" applyNumberFormat="1" applyFont="1" applyFill="1" applyBorder="1" applyAlignment="1" applyProtection="1">
      <alignment horizontal="center" vertical="center"/>
      <protection hidden="1"/>
    </xf>
    <xf numFmtId="167" fontId="79" fillId="43" borderId="5" xfId="1" applyNumberFormat="1" applyFont="1" applyFill="1" applyBorder="1" applyAlignment="1" applyProtection="1">
      <alignment horizontal="right" vertical="center"/>
      <protection hidden="1"/>
    </xf>
    <xf numFmtId="167" fontId="19" fillId="43" borderId="15" xfId="0" applyNumberFormat="1" applyFont="1" applyFill="1" applyBorder="1" applyAlignment="1" applyProtection="1">
      <alignment horizontal="center" vertical="center"/>
      <protection hidden="1"/>
    </xf>
    <xf numFmtId="4" fontId="19" fillId="43" borderId="0" xfId="1" applyNumberFormat="1" applyFont="1" applyFill="1" applyBorder="1" applyAlignment="1" applyProtection="1">
      <alignment horizontal="center" vertical="center"/>
      <protection hidden="1"/>
    </xf>
    <xf numFmtId="0" fontId="21" fillId="43" borderId="0" xfId="0" applyFont="1" applyFill="1" applyAlignment="1" applyProtection="1">
      <alignment horizontal="center" vertical="center"/>
      <protection hidden="1"/>
    </xf>
    <xf numFmtId="0" fontId="19" fillId="43" borderId="15" xfId="0" applyFont="1" applyFill="1" applyBorder="1" applyAlignment="1" applyProtection="1">
      <alignment horizontal="center" vertical="center"/>
      <protection hidden="1"/>
    </xf>
    <xf numFmtId="4" fontId="79" fillId="43" borderId="9" xfId="1" applyNumberFormat="1" applyFont="1" applyFill="1" applyBorder="1" applyAlignment="1" applyProtection="1">
      <alignment horizontal="center" vertical="center"/>
      <protection hidden="1"/>
    </xf>
    <xf numFmtId="167" fontId="88" fillId="43" borderId="9" xfId="1" applyNumberFormat="1" applyFont="1" applyFill="1" applyBorder="1" applyAlignment="1" applyProtection="1">
      <alignment horizontal="center" vertical="center"/>
      <protection hidden="1"/>
    </xf>
    <xf numFmtId="167" fontId="19" fillId="43" borderId="8" xfId="0" applyNumberFormat="1" applyFont="1" applyFill="1" applyBorder="1" applyAlignment="1" applyProtection="1">
      <alignment horizontal="center" vertical="center"/>
      <protection hidden="1"/>
    </xf>
    <xf numFmtId="4" fontId="22" fillId="43" borderId="0" xfId="1" applyNumberFormat="1" applyFont="1" applyFill="1" applyBorder="1" applyAlignment="1" applyProtection="1">
      <alignment horizontal="center" vertical="center"/>
      <protection hidden="1"/>
    </xf>
    <xf numFmtId="173" fontId="21" fillId="43" borderId="0" xfId="1" applyNumberFormat="1" applyFont="1" applyFill="1" applyBorder="1" applyAlignment="1" applyProtection="1">
      <alignment horizontal="center" vertical="center"/>
      <protection hidden="1"/>
    </xf>
    <xf numFmtId="167" fontId="21" fillId="43" borderId="12" xfId="1" applyNumberFormat="1" applyFont="1" applyFill="1" applyBorder="1" applyAlignment="1" applyProtection="1">
      <alignment horizontal="center" vertical="center"/>
      <protection hidden="1"/>
    </xf>
    <xf numFmtId="167" fontId="21" fillId="43" borderId="0" xfId="0" applyNumberFormat="1" applyFont="1" applyFill="1" applyAlignment="1">
      <alignment horizontal="center" vertical="center"/>
    </xf>
    <xf numFmtId="4" fontId="92" fillId="43" borderId="0" xfId="1" applyNumberFormat="1" applyFont="1" applyFill="1" applyBorder="1" applyAlignment="1" applyProtection="1">
      <alignment horizontal="center" vertical="center"/>
      <protection hidden="1"/>
    </xf>
    <xf numFmtId="173" fontId="20" fillId="43" borderId="4" xfId="1" applyNumberFormat="1" applyFont="1" applyFill="1" applyBorder="1" applyAlignment="1" applyProtection="1">
      <alignment horizontal="center" vertical="center"/>
      <protection hidden="1"/>
    </xf>
    <xf numFmtId="167" fontId="22" fillId="43" borderId="0" xfId="0" applyNumberFormat="1" applyFont="1" applyFill="1" applyAlignment="1" applyProtection="1">
      <alignment horizontal="center" vertical="center"/>
      <protection hidden="1"/>
    </xf>
    <xf numFmtId="167" fontId="21" fillId="43" borderId="0" xfId="0" applyNumberFormat="1" applyFont="1" applyFill="1" applyAlignment="1">
      <alignment horizontal="left" vertical="center" indent="1"/>
    </xf>
    <xf numFmtId="167" fontId="20" fillId="43" borderId="0" xfId="0" applyNumberFormat="1" applyFont="1" applyFill="1" applyAlignment="1">
      <alignment horizontal="left" vertical="center" indent="1"/>
    </xf>
    <xf numFmtId="0" fontId="21" fillId="43" borderId="15" xfId="0" applyFont="1" applyFill="1" applyBorder="1" applyAlignment="1" applyProtection="1">
      <alignment horizontal="center" vertical="center"/>
      <protection hidden="1"/>
    </xf>
    <xf numFmtId="181" fontId="21" fillId="43" borderId="0" xfId="0" applyNumberFormat="1" applyFont="1" applyFill="1" applyAlignment="1">
      <alignment horizontal="center" vertical="center"/>
    </xf>
    <xf numFmtId="4" fontId="21" fillId="43" borderId="0" xfId="0" applyNumberFormat="1" applyFont="1" applyFill="1" applyAlignment="1">
      <alignment vertical="center"/>
    </xf>
    <xf numFmtId="4" fontId="22" fillId="43" borderId="9" xfId="1" applyNumberFormat="1" applyFont="1" applyFill="1" applyBorder="1" applyAlignment="1" applyProtection="1">
      <alignment horizontal="center" vertical="center"/>
      <protection hidden="1"/>
    </xf>
    <xf numFmtId="167" fontId="21" fillId="43" borderId="9" xfId="1" applyNumberFormat="1" applyFont="1" applyFill="1" applyBorder="1" applyAlignment="1" applyProtection="1">
      <alignment horizontal="center" vertical="center"/>
      <protection hidden="1"/>
    </xf>
    <xf numFmtId="0" fontId="21" fillId="43" borderId="8" xfId="0" applyFont="1" applyFill="1" applyBorder="1" applyAlignment="1" applyProtection="1">
      <alignment horizontal="center" vertical="center"/>
      <protection hidden="1"/>
    </xf>
    <xf numFmtId="4" fontId="20" fillId="43" borderId="0" xfId="0" applyNumberFormat="1" applyFont="1" applyFill="1" applyAlignment="1">
      <alignment vertical="center"/>
    </xf>
    <xf numFmtId="167" fontId="21" fillId="43" borderId="0" xfId="0" applyNumberFormat="1" applyFont="1" applyFill="1" applyAlignment="1" applyProtection="1">
      <alignment horizontal="center" vertical="center"/>
      <protection hidden="1"/>
    </xf>
    <xf numFmtId="167" fontId="21" fillId="43" borderId="5" xfId="0" applyNumberFormat="1" applyFont="1" applyFill="1" applyBorder="1" applyAlignment="1" applyProtection="1">
      <alignment horizontal="center" vertical="center"/>
      <protection hidden="1"/>
    </xf>
    <xf numFmtId="0" fontId="21" fillId="43" borderId="7" xfId="0" applyFont="1" applyFill="1" applyBorder="1" applyAlignment="1" applyProtection="1">
      <alignment horizontal="left" vertical="center"/>
      <protection hidden="1"/>
    </xf>
    <xf numFmtId="0" fontId="21" fillId="43" borderId="13" xfId="0" applyFont="1" applyFill="1" applyBorder="1" applyAlignment="1" applyProtection="1">
      <alignment horizontal="left" vertical="center"/>
      <protection hidden="1"/>
    </xf>
    <xf numFmtId="0" fontId="22" fillId="43" borderId="8" xfId="0" applyFont="1" applyFill="1" applyBorder="1" applyAlignment="1" applyProtection="1">
      <alignment horizontal="center" vertical="center"/>
      <protection hidden="1"/>
    </xf>
    <xf numFmtId="0" fontId="21" fillId="43" borderId="9" xfId="0" applyFont="1" applyFill="1" applyBorder="1" applyAlignment="1" applyProtection="1">
      <alignment horizontal="center" vertical="center"/>
      <protection hidden="1"/>
    </xf>
    <xf numFmtId="187" fontId="21" fillId="43" borderId="9" xfId="0" applyNumberFormat="1" applyFont="1" applyFill="1" applyBorder="1" applyAlignment="1" applyProtection="1">
      <alignment horizontal="right" vertical="center"/>
      <protection hidden="1"/>
    </xf>
    <xf numFmtId="0" fontId="21" fillId="43" borderId="7" xfId="0" applyFont="1" applyFill="1" applyBorder="1" applyAlignment="1" applyProtection="1">
      <alignment horizontal="center" vertical="center"/>
      <protection hidden="1"/>
    </xf>
    <xf numFmtId="187" fontId="21" fillId="43" borderId="10" xfId="0" applyNumberFormat="1" applyFont="1" applyFill="1" applyBorder="1" applyAlignment="1" applyProtection="1">
      <alignment horizontal="right" vertical="center"/>
      <protection hidden="1"/>
    </xf>
    <xf numFmtId="167" fontId="88" fillId="43" borderId="9" xfId="0" applyNumberFormat="1" applyFont="1" applyFill="1" applyBorder="1" applyAlignment="1" applyProtection="1">
      <alignment horizontal="center" vertical="center"/>
      <protection hidden="1"/>
    </xf>
    <xf numFmtId="167" fontId="88" fillId="43" borderId="10" xfId="0" applyNumberFormat="1" applyFont="1" applyFill="1" applyBorder="1" applyAlignment="1" applyProtection="1">
      <alignment horizontal="center" vertical="center"/>
      <protection hidden="1"/>
    </xf>
    <xf numFmtId="167" fontId="23" fillId="43" borderId="0" xfId="0" applyNumberFormat="1" applyFont="1" applyFill="1" applyAlignment="1">
      <alignment horizontal="center" vertical="center"/>
    </xf>
    <xf numFmtId="167" fontId="22" fillId="43" borderId="0" xfId="0" applyNumberFormat="1" applyFont="1" applyFill="1" applyAlignment="1">
      <alignment horizontal="center" vertical="center" wrapText="1"/>
    </xf>
    <xf numFmtId="0" fontId="80" fillId="43" borderId="9" xfId="0" applyFont="1" applyFill="1" applyBorder="1" applyAlignment="1" applyProtection="1">
      <alignment horizontal="center" vertical="center"/>
      <protection hidden="1"/>
    </xf>
    <xf numFmtId="167" fontId="86" fillId="43" borderId="9" xfId="0" applyNumberFormat="1" applyFont="1" applyFill="1" applyBorder="1" applyAlignment="1" applyProtection="1">
      <alignment horizontal="right" vertical="center"/>
      <protection hidden="1"/>
    </xf>
    <xf numFmtId="167" fontId="21" fillId="43" borderId="10" xfId="1" applyNumberFormat="1" applyFont="1" applyFill="1" applyBorder="1" applyAlignment="1" applyProtection="1">
      <alignment horizontal="right" vertical="center"/>
      <protection hidden="1"/>
    </xf>
    <xf numFmtId="0" fontId="80" fillId="43" borderId="8" xfId="0" applyFont="1" applyFill="1" applyBorder="1" applyAlignment="1" applyProtection="1">
      <alignment horizontal="center" vertical="center"/>
      <protection hidden="1"/>
    </xf>
    <xf numFmtId="0" fontId="88" fillId="43" borderId="10" xfId="0" applyFont="1" applyFill="1" applyBorder="1" applyAlignment="1" applyProtection="1">
      <alignment horizontal="center" vertical="center"/>
      <protection hidden="1"/>
    </xf>
    <xf numFmtId="0" fontId="88" fillId="43" borderId="0" xfId="0" applyFont="1" applyFill="1" applyAlignment="1" applyProtection="1">
      <alignment vertical="center"/>
      <protection hidden="1"/>
    </xf>
    <xf numFmtId="0" fontId="88" fillId="43" borderId="0" xfId="0" applyFont="1" applyFill="1" applyAlignment="1">
      <alignment vertical="center"/>
    </xf>
    <xf numFmtId="0" fontId="88" fillId="43" borderId="0" xfId="0" applyFont="1" applyFill="1" applyAlignment="1">
      <alignment horizontal="center" vertical="center"/>
    </xf>
    <xf numFmtId="9" fontId="20" fillId="43" borderId="4" xfId="1" applyFont="1" applyFill="1" applyBorder="1" applyAlignment="1" applyProtection="1">
      <alignment horizontal="center" vertical="center"/>
      <protection hidden="1"/>
    </xf>
    <xf numFmtId="167" fontId="88" fillId="43" borderId="6" xfId="1" applyNumberFormat="1" applyFont="1" applyFill="1" applyBorder="1" applyAlignment="1" applyProtection="1">
      <alignment horizontal="right" vertical="center"/>
      <protection hidden="1"/>
    </xf>
    <xf numFmtId="0" fontId="21" fillId="43" borderId="12" xfId="0" applyFont="1" applyFill="1" applyBorder="1" applyAlignment="1" applyProtection="1">
      <alignment horizontal="left" vertical="center" indent="5"/>
      <protection hidden="1"/>
    </xf>
    <xf numFmtId="0" fontId="19" fillId="43" borderId="12" xfId="0" applyFont="1" applyFill="1" applyBorder="1" applyAlignment="1" applyProtection="1">
      <alignment horizontal="left" vertical="center" indent="5"/>
      <protection hidden="1"/>
    </xf>
    <xf numFmtId="0" fontId="21" fillId="43" borderId="12" xfId="0" applyFont="1" applyFill="1" applyBorder="1" applyAlignment="1" applyProtection="1">
      <alignment horizontal="left" vertical="center" wrapText="1" indent="5"/>
      <protection hidden="1"/>
    </xf>
    <xf numFmtId="4" fontId="83" fillId="43" borderId="0" xfId="303" applyNumberFormat="1" applyFont="1" applyFill="1" applyAlignment="1" applyProtection="1">
      <alignment horizontal="left" vertical="center"/>
      <protection hidden="1"/>
    </xf>
    <xf numFmtId="4" fontId="84" fillId="43" borderId="0" xfId="303" applyNumberFormat="1" applyFont="1" applyFill="1" applyAlignment="1" applyProtection="1">
      <alignment horizontal="left" vertical="center"/>
      <protection hidden="1"/>
    </xf>
    <xf numFmtId="193" fontId="84" fillId="43" borderId="0" xfId="303" applyNumberFormat="1" applyFont="1" applyFill="1" applyAlignment="1" applyProtection="1">
      <alignment horizontal="center" vertical="center"/>
      <protection hidden="1"/>
    </xf>
    <xf numFmtId="3" fontId="83" fillId="43" borderId="0" xfId="303" applyNumberFormat="1" applyFont="1" applyFill="1" applyAlignment="1" applyProtection="1">
      <alignment horizontal="right" vertical="center"/>
      <protection hidden="1"/>
    </xf>
    <xf numFmtId="4" fontId="83" fillId="43" borderId="0" xfId="303" applyNumberFormat="1" applyFont="1" applyFill="1" applyAlignment="1" applyProtection="1">
      <alignment horizontal="center" vertical="center"/>
      <protection hidden="1"/>
    </xf>
    <xf numFmtId="3" fontId="83" fillId="43" borderId="0" xfId="303" applyNumberFormat="1" applyFont="1" applyFill="1" applyAlignment="1" applyProtection="1">
      <alignment vertical="center"/>
      <protection hidden="1"/>
    </xf>
    <xf numFmtId="3" fontId="83" fillId="43" borderId="0" xfId="303" applyNumberFormat="1" applyFont="1" applyFill="1" applyAlignment="1" applyProtection="1">
      <alignment horizontal="center" vertical="center"/>
      <protection hidden="1"/>
    </xf>
    <xf numFmtId="167" fontId="83" fillId="43" borderId="0" xfId="303" applyNumberFormat="1" applyFont="1" applyFill="1" applyAlignment="1" applyProtection="1">
      <alignment horizontal="right" vertical="center"/>
      <protection hidden="1"/>
    </xf>
    <xf numFmtId="167" fontId="83" fillId="43" borderId="0" xfId="303" applyNumberFormat="1" applyFont="1" applyFill="1" applyAlignment="1" applyProtection="1">
      <alignment horizontal="right" vertical="center" indent="1"/>
      <protection hidden="1"/>
    </xf>
    <xf numFmtId="4" fontId="83" fillId="44" borderId="36" xfId="303" applyNumberFormat="1" applyFont="1" applyFill="1" applyBorder="1" applyAlignment="1" applyProtection="1">
      <alignment horizontal="left" vertical="center"/>
      <protection hidden="1"/>
    </xf>
    <xf numFmtId="3" fontId="84" fillId="44" borderId="44" xfId="303" applyNumberFormat="1" applyFont="1" applyFill="1" applyBorder="1" applyAlignment="1" applyProtection="1">
      <alignment horizontal="center" vertical="center" wrapText="1"/>
      <protection hidden="1"/>
    </xf>
    <xf numFmtId="4" fontId="83" fillId="43" borderId="15" xfId="303" applyNumberFormat="1" applyFont="1" applyFill="1" applyBorder="1" applyAlignment="1" applyProtection="1">
      <alignment horizontal="left" vertical="center" indent="1"/>
      <protection hidden="1"/>
    </xf>
    <xf numFmtId="167" fontId="83" fillId="43" borderId="39" xfId="303" applyNumberFormat="1" applyFont="1" applyFill="1" applyBorder="1" applyAlignment="1" applyProtection="1">
      <alignment horizontal="right" vertical="center"/>
      <protection hidden="1"/>
    </xf>
    <xf numFmtId="4" fontId="83" fillId="43" borderId="39" xfId="303" applyNumberFormat="1" applyFont="1" applyFill="1" applyBorder="1" applyAlignment="1" applyProtection="1">
      <alignment horizontal="center" vertical="center"/>
      <protection hidden="1"/>
    </xf>
    <xf numFmtId="3" fontId="20" fillId="2" borderId="0" xfId="14" applyNumberFormat="1" applyFont="1" applyFill="1" applyBorder="1" applyAlignment="1" applyProtection="1">
      <alignment horizontal="right" vertical="center"/>
      <protection locked="0" hidden="1"/>
    </xf>
    <xf numFmtId="167" fontId="83" fillId="43" borderId="40" xfId="303" applyNumberFormat="1" applyFont="1" applyFill="1" applyBorder="1" applyAlignment="1" applyProtection="1">
      <alignment horizontal="right" vertical="center"/>
      <protection hidden="1"/>
    </xf>
    <xf numFmtId="167" fontId="83" fillId="43" borderId="5" xfId="303" applyNumberFormat="1" applyFont="1" applyFill="1" applyBorder="1" applyAlignment="1" applyProtection="1">
      <alignment horizontal="right" vertical="center" indent="1"/>
      <protection hidden="1"/>
    </xf>
    <xf numFmtId="3" fontId="83" fillId="43" borderId="40" xfId="303" applyNumberFormat="1" applyFont="1" applyFill="1" applyBorder="1" applyAlignment="1" applyProtection="1">
      <alignment horizontal="right" vertical="center"/>
      <protection hidden="1"/>
    </xf>
    <xf numFmtId="4" fontId="83" fillId="43" borderId="15" xfId="303" applyNumberFormat="1" applyFont="1" applyFill="1" applyBorder="1" applyAlignment="1" applyProtection="1">
      <alignment horizontal="left" vertical="center" indent="3"/>
      <protection hidden="1"/>
    </xf>
    <xf numFmtId="4" fontId="83" fillId="43" borderId="15" xfId="303" applyNumberFormat="1" applyFont="1" applyFill="1" applyBorder="1" applyAlignment="1" applyProtection="1">
      <alignment horizontal="left" vertical="center" indent="5"/>
      <protection hidden="1"/>
    </xf>
    <xf numFmtId="4" fontId="83" fillId="43" borderId="16" xfId="303" applyNumberFormat="1" applyFont="1" applyFill="1" applyBorder="1" applyAlignment="1" applyProtection="1">
      <alignment horizontal="left" vertical="center" indent="1"/>
      <protection hidden="1"/>
    </xf>
    <xf numFmtId="167" fontId="83" fillId="43" borderId="41" xfId="303" applyNumberFormat="1" applyFont="1" applyFill="1" applyBorder="1" applyAlignment="1" applyProtection="1">
      <alignment horizontal="right" vertical="center"/>
      <protection hidden="1"/>
    </xf>
    <xf numFmtId="191" fontId="83" fillId="43" borderId="4" xfId="303" applyNumberFormat="1" applyFont="1" applyFill="1" applyBorder="1" applyAlignment="1" applyProtection="1">
      <alignment horizontal="center" vertical="center"/>
      <protection hidden="1"/>
    </xf>
    <xf numFmtId="3" fontId="83" fillId="43" borderId="4" xfId="303" applyNumberFormat="1" applyFont="1" applyFill="1" applyBorder="1" applyAlignment="1" applyProtection="1">
      <alignment horizontal="right" vertical="center"/>
      <protection hidden="1"/>
    </xf>
    <xf numFmtId="4" fontId="83" fillId="43" borderId="4" xfId="303" applyNumberFormat="1" applyFont="1" applyFill="1" applyBorder="1" applyAlignment="1" applyProtection="1">
      <alignment horizontal="center" vertical="center"/>
      <protection hidden="1"/>
    </xf>
    <xf numFmtId="3" fontId="83" fillId="43" borderId="42" xfId="303" applyNumberFormat="1" applyFont="1" applyFill="1" applyBorder="1" applyAlignment="1" applyProtection="1">
      <alignment horizontal="right" vertical="center"/>
      <protection hidden="1"/>
    </xf>
    <xf numFmtId="4" fontId="83" fillId="43" borderId="4" xfId="303" applyNumberFormat="1" applyFont="1" applyFill="1" applyBorder="1" applyAlignment="1" applyProtection="1">
      <alignment horizontal="left" vertical="center"/>
      <protection hidden="1"/>
    </xf>
    <xf numFmtId="4" fontId="83" fillId="43" borderId="41" xfId="303" applyNumberFormat="1" applyFont="1" applyFill="1" applyBorder="1" applyAlignment="1" applyProtection="1">
      <alignment horizontal="center" vertical="center"/>
      <protection hidden="1"/>
    </xf>
    <xf numFmtId="3" fontId="83" fillId="43" borderId="4" xfId="303" applyNumberFormat="1" applyFont="1" applyFill="1" applyBorder="1" applyAlignment="1" applyProtection="1">
      <alignment horizontal="center" vertical="center"/>
      <protection hidden="1"/>
    </xf>
    <xf numFmtId="167" fontId="83" fillId="43" borderId="42" xfId="303" applyNumberFormat="1" applyFont="1" applyFill="1" applyBorder="1" applyAlignment="1" applyProtection="1">
      <alignment horizontal="right" vertical="center"/>
      <protection hidden="1"/>
    </xf>
    <xf numFmtId="167" fontId="83" fillId="43" borderId="6" xfId="303" applyNumberFormat="1" applyFont="1" applyFill="1" applyBorder="1" applyAlignment="1" applyProtection="1">
      <alignment horizontal="right" vertical="center" indent="1"/>
      <protection hidden="1"/>
    </xf>
    <xf numFmtId="167" fontId="83" fillId="43" borderId="50" xfId="303" applyNumberFormat="1" applyFont="1" applyFill="1" applyBorder="1" applyAlignment="1" applyProtection="1">
      <alignment horizontal="right" vertical="center" indent="1"/>
      <protection hidden="1"/>
    </xf>
    <xf numFmtId="4" fontId="84" fillId="45" borderId="43" xfId="303" applyNumberFormat="1" applyFont="1" applyFill="1" applyBorder="1" applyAlignment="1" applyProtection="1">
      <alignment horizontal="left" vertical="center"/>
      <protection hidden="1"/>
    </xf>
    <xf numFmtId="167" fontId="84" fillId="45" borderId="6" xfId="303" applyNumberFormat="1" applyFont="1" applyFill="1" applyBorder="1" applyAlignment="1" applyProtection="1">
      <alignment horizontal="right" vertical="center" indent="1"/>
      <protection hidden="1"/>
    </xf>
    <xf numFmtId="4" fontId="84" fillId="46" borderId="16" xfId="303" applyNumberFormat="1" applyFont="1" applyFill="1" applyBorder="1" applyAlignment="1" applyProtection="1">
      <alignment horizontal="left" vertical="center"/>
      <protection hidden="1"/>
    </xf>
    <xf numFmtId="167" fontId="84" fillId="46" borderId="41" xfId="303" applyNumberFormat="1" applyFont="1" applyFill="1" applyBorder="1" applyAlignment="1" applyProtection="1">
      <alignment horizontal="right" vertical="center"/>
      <protection hidden="1"/>
    </xf>
    <xf numFmtId="4" fontId="83" fillId="46" borderId="4" xfId="303" applyNumberFormat="1" applyFont="1" applyFill="1" applyBorder="1" applyAlignment="1" applyProtection="1">
      <alignment horizontal="center" vertical="center"/>
      <protection hidden="1"/>
    </xf>
    <xf numFmtId="3" fontId="83" fillId="46" borderId="4" xfId="303" applyNumberFormat="1" applyFont="1" applyFill="1" applyBorder="1" applyAlignment="1" applyProtection="1">
      <alignment horizontal="right" vertical="center"/>
      <protection hidden="1"/>
    </xf>
    <xf numFmtId="3" fontId="83" fillId="46" borderId="42" xfId="303" applyNumberFormat="1" applyFont="1" applyFill="1" applyBorder="1" applyAlignment="1" applyProtection="1">
      <alignment horizontal="right" vertical="center"/>
      <protection hidden="1"/>
    </xf>
    <xf numFmtId="4" fontId="83" fillId="46" borderId="4" xfId="303" applyNumberFormat="1" applyFont="1" applyFill="1" applyBorder="1" applyAlignment="1" applyProtection="1">
      <alignment horizontal="left" vertical="center"/>
      <protection hidden="1"/>
    </xf>
    <xf numFmtId="4" fontId="83" fillId="46" borderId="41" xfId="303" applyNumberFormat="1" applyFont="1" applyFill="1" applyBorder="1" applyAlignment="1" applyProtection="1">
      <alignment horizontal="center" vertical="center"/>
      <protection hidden="1"/>
    </xf>
    <xf numFmtId="3" fontId="83" fillId="46" borderId="4" xfId="303" applyNumberFormat="1" applyFont="1" applyFill="1" applyBorder="1" applyAlignment="1" applyProtection="1">
      <alignment vertical="center"/>
      <protection hidden="1"/>
    </xf>
    <xf numFmtId="3" fontId="83" fillId="46" borderId="4" xfId="303" applyNumberFormat="1" applyFont="1" applyFill="1" applyBorder="1" applyAlignment="1" applyProtection="1">
      <alignment horizontal="center" vertical="center"/>
      <protection hidden="1"/>
    </xf>
    <xf numFmtId="167" fontId="84" fillId="46" borderId="42" xfId="303" applyNumberFormat="1" applyFont="1" applyFill="1" applyBorder="1" applyAlignment="1" applyProtection="1">
      <alignment horizontal="right" vertical="center"/>
      <protection hidden="1"/>
    </xf>
    <xf numFmtId="167" fontId="84" fillId="46" borderId="6" xfId="303" applyNumberFormat="1" applyFont="1" applyFill="1" applyBorder="1" applyAlignment="1" applyProtection="1">
      <alignment horizontal="right" vertical="center" indent="1"/>
      <protection hidden="1"/>
    </xf>
    <xf numFmtId="4" fontId="84" fillId="43" borderId="15" xfId="303" applyNumberFormat="1" applyFont="1" applyFill="1" applyBorder="1" applyAlignment="1" applyProtection="1">
      <alignment horizontal="left" vertical="center"/>
      <protection hidden="1"/>
    </xf>
    <xf numFmtId="167" fontId="84" fillId="43" borderId="39" xfId="303" applyNumberFormat="1" applyFont="1" applyFill="1" applyBorder="1" applyAlignment="1" applyProtection="1">
      <alignment horizontal="right" vertical="center"/>
      <protection hidden="1"/>
    </xf>
    <xf numFmtId="3" fontId="84" fillId="43" borderId="38" xfId="303" applyNumberFormat="1" applyFont="1" applyFill="1" applyBorder="1" applyAlignment="1" applyProtection="1">
      <alignment horizontal="right" vertical="center"/>
      <protection hidden="1"/>
    </xf>
    <xf numFmtId="4" fontId="84" fillId="43" borderId="37" xfId="303" applyNumberFormat="1" applyFont="1" applyFill="1" applyBorder="1" applyAlignment="1" applyProtection="1">
      <alignment horizontal="center" vertical="center"/>
      <protection hidden="1"/>
    </xf>
    <xf numFmtId="4" fontId="93" fillId="47" borderId="0" xfId="0" applyNumberFormat="1" applyFont="1" applyFill="1" applyAlignment="1" applyProtection="1">
      <alignment horizontal="left" vertical="center"/>
      <protection hidden="1"/>
    </xf>
    <xf numFmtId="4" fontId="94" fillId="47" borderId="0" xfId="0" applyNumberFormat="1" applyFont="1" applyFill="1" applyAlignment="1" applyProtection="1">
      <alignment horizontal="left" vertical="center"/>
      <protection hidden="1"/>
    </xf>
    <xf numFmtId="193" fontId="94" fillId="47" borderId="0" xfId="0" applyNumberFormat="1" applyFont="1" applyFill="1" applyAlignment="1" applyProtection="1">
      <alignment horizontal="center" vertical="center"/>
      <protection hidden="1"/>
    </xf>
    <xf numFmtId="3" fontId="93" fillId="47" borderId="0" xfId="0" applyNumberFormat="1" applyFont="1" applyFill="1" applyAlignment="1" applyProtection="1">
      <alignment horizontal="right" vertical="center"/>
      <protection hidden="1"/>
    </xf>
    <xf numFmtId="4" fontId="93" fillId="47" borderId="0" xfId="0" applyNumberFormat="1" applyFont="1" applyFill="1" applyAlignment="1" applyProtection="1">
      <alignment horizontal="center" vertical="center"/>
      <protection hidden="1"/>
    </xf>
    <xf numFmtId="3" fontId="93" fillId="47" borderId="0" xfId="0" applyNumberFormat="1" applyFont="1" applyFill="1" applyAlignment="1" applyProtection="1">
      <alignment vertical="center"/>
      <protection hidden="1"/>
    </xf>
    <xf numFmtId="3" fontId="93" fillId="47" borderId="0" xfId="0" applyNumberFormat="1" applyFont="1" applyFill="1" applyAlignment="1" applyProtection="1">
      <alignment horizontal="center" vertical="center"/>
      <protection hidden="1"/>
    </xf>
    <xf numFmtId="167" fontId="93" fillId="47" borderId="0" xfId="0" applyNumberFormat="1" applyFont="1" applyFill="1" applyAlignment="1" applyProtection="1">
      <alignment horizontal="right" vertical="center"/>
      <protection hidden="1"/>
    </xf>
    <xf numFmtId="167" fontId="93" fillId="47" borderId="0" xfId="0" applyNumberFormat="1" applyFont="1" applyFill="1" applyAlignment="1" applyProtection="1">
      <alignment horizontal="right" vertical="center" indent="1"/>
      <protection hidden="1"/>
    </xf>
    <xf numFmtId="4" fontId="93" fillId="48" borderId="36" xfId="0" applyNumberFormat="1" applyFont="1" applyFill="1" applyBorder="1" applyAlignment="1" applyProtection="1">
      <alignment horizontal="left" vertical="center"/>
      <protection hidden="1"/>
    </xf>
    <xf numFmtId="3" fontId="94" fillId="48" borderId="44" xfId="0" applyNumberFormat="1" applyFont="1" applyFill="1" applyBorder="1" applyAlignment="1" applyProtection="1">
      <alignment horizontal="center" vertical="center" wrapText="1"/>
      <protection hidden="1"/>
    </xf>
    <xf numFmtId="4" fontId="93" fillId="47" borderId="45" xfId="0" applyNumberFormat="1" applyFont="1" applyFill="1" applyBorder="1" applyAlignment="1" applyProtection="1">
      <alignment horizontal="left" vertical="center"/>
      <protection hidden="1"/>
    </xf>
    <xf numFmtId="167" fontId="93" fillId="47" borderId="5" xfId="0" applyNumberFormat="1" applyFont="1" applyFill="1" applyBorder="1" applyAlignment="1" applyProtection="1">
      <alignment horizontal="right" vertical="center" indent="1"/>
      <protection hidden="1"/>
    </xf>
    <xf numFmtId="4" fontId="84" fillId="43" borderId="15" xfId="0" applyNumberFormat="1" applyFont="1" applyFill="1" applyBorder="1" applyAlignment="1" applyProtection="1">
      <alignment horizontal="left" vertical="center" indent="1"/>
      <protection hidden="1"/>
    </xf>
    <xf numFmtId="4" fontId="93" fillId="47" borderId="39" xfId="0" applyNumberFormat="1" applyFont="1" applyFill="1" applyBorder="1" applyAlignment="1" applyProtection="1">
      <alignment horizontal="left" vertical="center"/>
      <protection hidden="1"/>
    </xf>
    <xf numFmtId="4" fontId="93" fillId="43" borderId="39" xfId="0" applyNumberFormat="1" applyFont="1" applyFill="1" applyBorder="1" applyAlignment="1" applyProtection="1">
      <alignment horizontal="center" vertical="center"/>
      <protection hidden="1"/>
    </xf>
    <xf numFmtId="3" fontId="93" fillId="47" borderId="40" xfId="0" applyNumberFormat="1" applyFont="1" applyFill="1" applyBorder="1" applyAlignment="1" applyProtection="1">
      <alignment horizontal="right" vertical="center"/>
      <protection hidden="1"/>
    </xf>
    <xf numFmtId="4" fontId="93" fillId="47" borderId="39" xfId="0" applyNumberFormat="1" applyFont="1" applyFill="1" applyBorder="1" applyAlignment="1" applyProtection="1">
      <alignment horizontal="center" vertical="center"/>
      <protection hidden="1"/>
    </xf>
    <xf numFmtId="3" fontId="93" fillId="49" borderId="0" xfId="14" applyNumberFormat="1" applyFont="1" applyFill="1" applyBorder="1" applyAlignment="1" applyProtection="1">
      <alignment horizontal="right" vertical="center"/>
      <protection locked="0" hidden="1"/>
    </xf>
    <xf numFmtId="167" fontId="93" fillId="47" borderId="40" xfId="0" applyNumberFormat="1" applyFont="1" applyFill="1" applyBorder="1" applyAlignment="1" applyProtection="1">
      <alignment horizontal="right" vertical="center"/>
      <protection hidden="1"/>
    </xf>
    <xf numFmtId="4" fontId="93" fillId="47" borderId="4" xfId="0" applyNumberFormat="1" applyFont="1" applyFill="1" applyBorder="1" applyAlignment="1" applyProtection="1">
      <alignment horizontal="center" vertical="center"/>
      <protection hidden="1"/>
    </xf>
    <xf numFmtId="3" fontId="93" fillId="49" borderId="4" xfId="14" applyNumberFormat="1" applyFont="1" applyFill="1" applyBorder="1" applyAlignment="1" applyProtection="1">
      <alignment horizontal="right" vertical="center"/>
      <protection locked="0" hidden="1"/>
    </xf>
    <xf numFmtId="167" fontId="93" fillId="50" borderId="5" xfId="0" applyNumberFormat="1" applyFont="1" applyFill="1" applyBorder="1" applyAlignment="1" applyProtection="1">
      <alignment horizontal="right" vertical="center" indent="1"/>
      <protection hidden="1"/>
    </xf>
    <xf numFmtId="3" fontId="94" fillId="48" borderId="52" xfId="0" applyNumberFormat="1" applyFont="1" applyFill="1" applyBorder="1" applyAlignment="1" applyProtection="1">
      <alignment horizontal="center" vertical="center" wrapText="1"/>
      <protection hidden="1"/>
    </xf>
    <xf numFmtId="0" fontId="79" fillId="0" borderId="0" xfId="0" applyFont="1"/>
    <xf numFmtId="0" fontId="23" fillId="0" borderId="0" xfId="0" applyFont="1"/>
    <xf numFmtId="0" fontId="89" fillId="0" borderId="0" xfId="0" applyFont="1"/>
    <xf numFmtId="0" fontId="79" fillId="0" borderId="32" xfId="0" applyFont="1" applyBorder="1" applyAlignment="1">
      <alignment horizontal="left" vertical="center" wrapText="1" indent="1"/>
    </xf>
    <xf numFmtId="0" fontId="89" fillId="0" borderId="0" xfId="0" applyFont="1" applyAlignment="1">
      <alignment vertical="center"/>
    </xf>
    <xf numFmtId="0" fontId="89" fillId="0" borderId="0" xfId="0" applyFont="1" applyAlignment="1">
      <alignment vertical="center" wrapText="1"/>
    </xf>
    <xf numFmtId="0" fontId="89" fillId="0" borderId="0" xfId="0" applyFont="1" applyAlignment="1">
      <alignment horizontal="left"/>
    </xf>
    <xf numFmtId="0" fontId="79" fillId="0" borderId="45" xfId="0" applyFont="1" applyBorder="1" applyAlignment="1">
      <alignment horizontal="left" vertical="center" wrapText="1" indent="1"/>
    </xf>
    <xf numFmtId="0" fontId="79" fillId="0" borderId="0" xfId="0" applyFont="1" applyAlignment="1">
      <alignment vertical="center"/>
    </xf>
    <xf numFmtId="0" fontId="90" fillId="0" borderId="0" xfId="0" applyFont="1" applyAlignment="1">
      <alignment vertical="center"/>
    </xf>
    <xf numFmtId="0" fontId="79" fillId="0" borderId="0" xfId="0" applyFont="1" applyAlignment="1">
      <alignment horizontal="left" vertical="center" wrapText="1" indent="1"/>
    </xf>
    <xf numFmtId="0" fontId="19" fillId="44" borderId="8" xfId="0" applyFont="1" applyFill="1" applyBorder="1" applyAlignment="1" applyProtection="1">
      <alignment vertical="center"/>
      <protection hidden="1"/>
    </xf>
    <xf numFmtId="0" fontId="19" fillId="44" borderId="8" xfId="0" applyFont="1" applyFill="1" applyBorder="1" applyAlignment="1" applyProtection="1">
      <alignment horizontal="center" vertical="center" wrapText="1"/>
      <protection hidden="1"/>
    </xf>
    <xf numFmtId="0" fontId="21" fillId="44" borderId="9" xfId="0" applyFont="1" applyFill="1" applyBorder="1" applyAlignment="1" applyProtection="1">
      <alignment horizontal="center" vertical="center" wrapText="1"/>
      <protection hidden="1"/>
    </xf>
    <xf numFmtId="0" fontId="21" fillId="44" borderId="8" xfId="0" applyFont="1" applyFill="1" applyBorder="1" applyAlignment="1" applyProtection="1">
      <alignment horizontal="center" vertical="center" wrapText="1"/>
      <protection hidden="1"/>
    </xf>
    <xf numFmtId="0" fontId="21" fillId="44" borderId="10" xfId="0" applyFont="1" applyFill="1" applyBorder="1" applyAlignment="1" applyProtection="1">
      <alignment horizontal="center" vertical="center" wrapText="1"/>
      <protection hidden="1"/>
    </xf>
    <xf numFmtId="0" fontId="89" fillId="43" borderId="0" xfId="0" applyFont="1" applyFill="1" applyAlignment="1" applyProtection="1">
      <alignment vertical="center" wrapText="1"/>
      <protection hidden="1"/>
    </xf>
    <xf numFmtId="0" fontId="79" fillId="43" borderId="0" xfId="0" applyFont="1" applyFill="1"/>
    <xf numFmtId="0" fontId="23" fillId="43" borderId="0" xfId="0" applyFont="1" applyFill="1"/>
    <xf numFmtId="0" fontId="79" fillId="43" borderId="45" xfId="0" applyFont="1" applyFill="1" applyBorder="1" applyAlignment="1">
      <alignment horizontal="left" vertical="center" wrapText="1" indent="3"/>
    </xf>
    <xf numFmtId="0" fontId="96" fillId="43" borderId="0" xfId="0" applyFont="1" applyFill="1"/>
    <xf numFmtId="0" fontId="89" fillId="43" borderId="0" xfId="0" applyFont="1" applyFill="1"/>
    <xf numFmtId="0" fontId="89" fillId="43" borderId="0" xfId="0" applyFont="1" applyFill="1" applyAlignment="1">
      <alignment vertical="center" wrapText="1"/>
    </xf>
    <xf numFmtId="0" fontId="89" fillId="43" borderId="0" xfId="0" applyFont="1" applyFill="1" applyAlignment="1">
      <alignment horizontal="left"/>
    </xf>
    <xf numFmtId="3" fontId="84" fillId="44" borderId="52" xfId="303" applyNumberFormat="1" applyFont="1" applyFill="1" applyBorder="1" applyAlignment="1" applyProtection="1">
      <alignment horizontal="center" vertical="center" wrapText="1"/>
      <protection hidden="1"/>
    </xf>
    <xf numFmtId="3" fontId="84" fillId="44" borderId="52" xfId="0" applyNumberFormat="1" applyFont="1" applyFill="1" applyBorder="1" applyAlignment="1" applyProtection="1">
      <alignment horizontal="center" vertical="center" wrapText="1"/>
      <protection hidden="1"/>
    </xf>
    <xf numFmtId="3" fontId="84" fillId="44" borderId="51" xfId="0" applyNumberFormat="1" applyFont="1" applyFill="1" applyBorder="1" applyAlignment="1" applyProtection="1">
      <alignment horizontal="center" vertical="center" wrapText="1"/>
      <protection hidden="1"/>
    </xf>
    <xf numFmtId="4" fontId="93" fillId="43" borderId="0" xfId="0" applyNumberFormat="1" applyFont="1" applyFill="1" applyAlignment="1" applyProtection="1">
      <alignment horizontal="center" vertical="center"/>
      <protection hidden="1"/>
    </xf>
    <xf numFmtId="188" fontId="94" fillId="47" borderId="0" xfId="0" applyNumberFormat="1" applyFont="1" applyFill="1" applyAlignment="1" applyProtection="1">
      <alignment horizontal="right" vertical="center"/>
      <protection hidden="1"/>
    </xf>
    <xf numFmtId="4" fontId="93" fillId="50" borderId="0" xfId="0" applyNumberFormat="1" applyFont="1" applyFill="1" applyAlignment="1" applyProtection="1">
      <alignment horizontal="center" vertical="center"/>
      <protection hidden="1"/>
    </xf>
    <xf numFmtId="3" fontId="93" fillId="50" borderId="0" xfId="0" applyNumberFormat="1" applyFont="1" applyFill="1" applyAlignment="1" applyProtection="1">
      <alignment horizontal="center" vertical="center"/>
      <protection hidden="1"/>
    </xf>
    <xf numFmtId="4" fontId="84" fillId="46" borderId="48" xfId="0" applyNumberFormat="1" applyFont="1" applyFill="1" applyBorder="1" applyAlignment="1" applyProtection="1">
      <alignment horizontal="left" vertical="center"/>
      <protection hidden="1"/>
    </xf>
    <xf numFmtId="167" fontId="84" fillId="46" borderId="55" xfId="0" applyNumberFormat="1" applyFont="1" applyFill="1" applyBorder="1" applyAlignment="1" applyProtection="1">
      <alignment horizontal="right" vertical="center"/>
      <protection hidden="1"/>
    </xf>
    <xf numFmtId="4" fontId="83" fillId="46" borderId="54" xfId="0" applyNumberFormat="1" applyFont="1" applyFill="1" applyBorder="1" applyAlignment="1" applyProtection="1">
      <alignment horizontal="center" vertical="center"/>
      <protection hidden="1"/>
    </xf>
    <xf numFmtId="3" fontId="83" fillId="46" borderId="54" xfId="0" applyNumberFormat="1" applyFont="1" applyFill="1" applyBorder="1" applyAlignment="1" applyProtection="1">
      <alignment horizontal="right" vertical="center"/>
      <protection hidden="1"/>
    </xf>
    <xf numFmtId="3" fontId="83" fillId="46" borderId="49" xfId="0" applyNumberFormat="1" applyFont="1" applyFill="1" applyBorder="1" applyAlignment="1" applyProtection="1">
      <alignment horizontal="right" vertical="center"/>
      <protection hidden="1"/>
    </xf>
    <xf numFmtId="4" fontId="83" fillId="46" borderId="54" xfId="0" applyNumberFormat="1" applyFont="1" applyFill="1" applyBorder="1" applyAlignment="1" applyProtection="1">
      <alignment horizontal="left" vertical="center"/>
      <protection hidden="1"/>
    </xf>
    <xf numFmtId="4" fontId="83" fillId="46" borderId="55" xfId="0" applyNumberFormat="1" applyFont="1" applyFill="1" applyBorder="1" applyAlignment="1" applyProtection="1">
      <alignment horizontal="center" vertical="center"/>
      <protection hidden="1"/>
    </xf>
    <xf numFmtId="3" fontId="83" fillId="46" borderId="54" xfId="0" applyNumberFormat="1" applyFont="1" applyFill="1" applyBorder="1" applyAlignment="1" applyProtection="1">
      <alignment vertical="center"/>
      <protection hidden="1"/>
    </xf>
    <xf numFmtId="3" fontId="83" fillId="46" borderId="54" xfId="0" applyNumberFormat="1" applyFont="1" applyFill="1" applyBorder="1" applyAlignment="1" applyProtection="1">
      <alignment horizontal="center" vertical="center"/>
      <protection hidden="1"/>
    </xf>
    <xf numFmtId="167" fontId="84" fillId="46" borderId="49" xfId="0" applyNumberFormat="1" applyFont="1" applyFill="1" applyBorder="1" applyAlignment="1" applyProtection="1">
      <alignment horizontal="right" vertical="center"/>
      <protection hidden="1"/>
    </xf>
    <xf numFmtId="167" fontId="84" fillId="46" borderId="56" xfId="0" applyNumberFormat="1" applyFont="1" applyFill="1" applyBorder="1" applyAlignment="1" applyProtection="1">
      <alignment horizontal="right" vertical="center" indent="1"/>
      <protection hidden="1"/>
    </xf>
    <xf numFmtId="4" fontId="94" fillId="47" borderId="46" xfId="0" applyNumberFormat="1" applyFont="1" applyFill="1" applyBorder="1" applyAlignment="1" applyProtection="1">
      <alignment horizontal="left" vertical="center"/>
      <protection hidden="1"/>
    </xf>
    <xf numFmtId="4" fontId="93" fillId="47" borderId="36" xfId="0" applyNumberFormat="1" applyFont="1" applyFill="1" applyBorder="1" applyAlignment="1" applyProtection="1">
      <alignment horizontal="center" vertical="center"/>
      <protection hidden="1"/>
    </xf>
    <xf numFmtId="3" fontId="93" fillId="47" borderId="36" xfId="0" applyNumberFormat="1" applyFont="1" applyFill="1" applyBorder="1" applyAlignment="1" applyProtection="1">
      <alignment horizontal="right" vertical="center"/>
      <protection hidden="1"/>
    </xf>
    <xf numFmtId="3" fontId="93" fillId="47" borderId="58" xfId="0" applyNumberFormat="1" applyFont="1" applyFill="1" applyBorder="1" applyAlignment="1" applyProtection="1">
      <alignment horizontal="right" vertical="center"/>
      <protection hidden="1"/>
    </xf>
    <xf numFmtId="4" fontId="94" fillId="47" borderId="36" xfId="0" applyNumberFormat="1" applyFont="1" applyFill="1" applyBorder="1" applyAlignment="1" applyProtection="1">
      <alignment horizontal="left" vertical="center"/>
      <protection hidden="1"/>
    </xf>
    <xf numFmtId="4" fontId="93" fillId="47" borderId="57" xfId="0" applyNumberFormat="1" applyFont="1" applyFill="1" applyBorder="1" applyAlignment="1" applyProtection="1">
      <alignment horizontal="center" vertical="center"/>
      <protection hidden="1"/>
    </xf>
    <xf numFmtId="3" fontId="93" fillId="47" borderId="36" xfId="0" applyNumberFormat="1" applyFont="1" applyFill="1" applyBorder="1" applyAlignment="1" applyProtection="1">
      <alignment horizontal="center" vertical="center"/>
      <protection hidden="1"/>
    </xf>
    <xf numFmtId="167" fontId="94" fillId="47" borderId="58" xfId="0" applyNumberFormat="1" applyFont="1" applyFill="1" applyBorder="1" applyAlignment="1" applyProtection="1">
      <alignment horizontal="right" vertical="center"/>
      <protection hidden="1"/>
    </xf>
    <xf numFmtId="167" fontId="93" fillId="47" borderId="53" xfId="0" applyNumberFormat="1" applyFont="1" applyFill="1" applyBorder="1" applyAlignment="1" applyProtection="1">
      <alignment horizontal="right" vertical="center" indent="1"/>
      <protection hidden="1"/>
    </xf>
    <xf numFmtId="4" fontId="94" fillId="47" borderId="0" xfId="0" applyNumberFormat="1" applyFont="1" applyFill="1" applyAlignment="1" applyProtection="1">
      <alignment horizontal="center" vertical="center"/>
      <protection hidden="1"/>
    </xf>
    <xf numFmtId="3" fontId="94" fillId="47" borderId="0" xfId="0" applyNumberFormat="1" applyFont="1" applyFill="1" applyAlignment="1" applyProtection="1">
      <alignment horizontal="right" vertical="center"/>
      <protection hidden="1"/>
    </xf>
    <xf numFmtId="3" fontId="94" fillId="43" borderId="0" xfId="0" applyNumberFormat="1" applyFont="1" applyFill="1" applyAlignment="1" applyProtection="1">
      <alignment vertical="center"/>
      <protection hidden="1"/>
    </xf>
    <xf numFmtId="3" fontId="94" fillId="43" borderId="0" xfId="0" applyNumberFormat="1" applyFont="1" applyFill="1" applyAlignment="1" applyProtection="1">
      <alignment horizontal="center" vertical="center"/>
      <protection hidden="1"/>
    </xf>
    <xf numFmtId="3" fontId="94" fillId="43" borderId="0" xfId="0" applyNumberFormat="1" applyFont="1" applyFill="1" applyAlignment="1" applyProtection="1">
      <alignment horizontal="right" vertical="center"/>
      <protection hidden="1"/>
    </xf>
    <xf numFmtId="4" fontId="94" fillId="51" borderId="48" xfId="0" applyNumberFormat="1" applyFont="1" applyFill="1" applyBorder="1" applyAlignment="1" applyProtection="1">
      <alignment horizontal="left" vertical="center"/>
      <protection hidden="1"/>
    </xf>
    <xf numFmtId="167" fontId="94" fillId="51" borderId="55" xfId="0" applyNumberFormat="1" applyFont="1" applyFill="1" applyBorder="1" applyAlignment="1" applyProtection="1">
      <alignment horizontal="right" vertical="center"/>
      <protection hidden="1"/>
    </xf>
    <xf numFmtId="4" fontId="94" fillId="51" borderId="54" xfId="0" applyNumberFormat="1" applyFont="1" applyFill="1" applyBorder="1" applyAlignment="1" applyProtection="1">
      <alignment horizontal="center" vertical="center"/>
      <protection hidden="1"/>
    </xf>
    <xf numFmtId="3" fontId="94" fillId="51" borderId="54" xfId="0" applyNumberFormat="1" applyFont="1" applyFill="1" applyBorder="1" applyAlignment="1" applyProtection="1">
      <alignment horizontal="right" vertical="center"/>
      <protection hidden="1"/>
    </xf>
    <xf numFmtId="3" fontId="94" fillId="51" borderId="49" xfId="0" applyNumberFormat="1" applyFont="1" applyFill="1" applyBorder="1" applyAlignment="1" applyProtection="1">
      <alignment horizontal="right" vertical="center"/>
      <protection hidden="1"/>
    </xf>
    <xf numFmtId="4" fontId="94" fillId="51" borderId="54" xfId="0" applyNumberFormat="1" applyFont="1" applyFill="1" applyBorder="1" applyAlignment="1" applyProtection="1">
      <alignment horizontal="left" vertical="center"/>
      <protection hidden="1"/>
    </xf>
    <xf numFmtId="4" fontId="94" fillId="46" borderId="55" xfId="0" applyNumberFormat="1" applyFont="1" applyFill="1" applyBorder="1" applyAlignment="1" applyProtection="1">
      <alignment horizontal="center" vertical="center"/>
      <protection hidden="1"/>
    </xf>
    <xf numFmtId="3" fontId="94" fillId="46" borderId="54" xfId="0" applyNumberFormat="1" applyFont="1" applyFill="1" applyBorder="1" applyAlignment="1" applyProtection="1">
      <alignment vertical="center"/>
      <protection hidden="1"/>
    </xf>
    <xf numFmtId="3" fontId="94" fillId="46" borderId="54" xfId="0" applyNumberFormat="1" applyFont="1" applyFill="1" applyBorder="1" applyAlignment="1" applyProtection="1">
      <alignment horizontal="center" vertical="center"/>
      <protection hidden="1"/>
    </xf>
    <xf numFmtId="3" fontId="94" fillId="46" borderId="54" xfId="0" applyNumberFormat="1" applyFont="1" applyFill="1" applyBorder="1" applyAlignment="1" applyProtection="1">
      <alignment horizontal="right" vertical="center"/>
      <protection hidden="1"/>
    </xf>
    <xf numFmtId="167" fontId="94" fillId="46" borderId="56" xfId="0" applyNumberFormat="1" applyFont="1" applyFill="1" applyBorder="1" applyAlignment="1" applyProtection="1">
      <alignment horizontal="right" vertical="center" indent="1"/>
      <protection hidden="1"/>
    </xf>
    <xf numFmtId="167" fontId="94" fillId="43" borderId="0" xfId="0" applyNumberFormat="1" applyFont="1" applyFill="1" applyAlignment="1" applyProtection="1">
      <alignment horizontal="right" vertical="center" indent="1"/>
      <protection hidden="1"/>
    </xf>
    <xf numFmtId="167" fontId="94" fillId="47" borderId="0" xfId="0" applyNumberFormat="1" applyFont="1" applyFill="1" applyAlignment="1" applyProtection="1">
      <alignment horizontal="right" vertical="center"/>
      <protection hidden="1"/>
    </xf>
    <xf numFmtId="4" fontId="94" fillId="43" borderId="0" xfId="0" applyNumberFormat="1" applyFont="1" applyFill="1" applyAlignment="1" applyProtection="1">
      <alignment horizontal="center" vertical="center"/>
      <protection hidden="1"/>
    </xf>
    <xf numFmtId="167" fontId="94" fillId="43" borderId="0" xfId="0" applyNumberFormat="1" applyFont="1" applyFill="1" applyAlignment="1" applyProtection="1">
      <alignment horizontal="right" vertical="center"/>
      <protection hidden="1"/>
    </xf>
    <xf numFmtId="3" fontId="93" fillId="52" borderId="0" xfId="14" applyNumberFormat="1" applyFont="1" applyFill="1" applyBorder="1" applyAlignment="1" applyProtection="1">
      <alignment horizontal="right" vertical="center"/>
      <protection locked="0" hidden="1"/>
    </xf>
    <xf numFmtId="4" fontId="94" fillId="43" borderId="8" xfId="0" applyNumberFormat="1" applyFont="1" applyFill="1" applyBorder="1" applyAlignment="1" applyProtection="1">
      <alignment horizontal="left" vertical="center"/>
      <protection hidden="1"/>
    </xf>
    <xf numFmtId="167" fontId="87" fillId="43" borderId="59" xfId="0" applyNumberFormat="1" applyFont="1" applyFill="1" applyBorder="1" applyAlignment="1" applyProtection="1">
      <alignment horizontal="right" vertical="center"/>
      <protection hidden="1"/>
    </xf>
    <xf numFmtId="4" fontId="94" fillId="43" borderId="9" xfId="0" applyNumberFormat="1" applyFont="1" applyFill="1" applyBorder="1" applyAlignment="1" applyProtection="1">
      <alignment horizontal="center" vertical="center"/>
      <protection hidden="1"/>
    </xf>
    <xf numFmtId="3" fontId="94" fillId="43" borderId="9" xfId="0" applyNumberFormat="1" applyFont="1" applyFill="1" applyBorder="1" applyAlignment="1" applyProtection="1">
      <alignment horizontal="right" vertical="center"/>
      <protection hidden="1"/>
    </xf>
    <xf numFmtId="3" fontId="94" fillId="43" borderId="60" xfId="0" applyNumberFormat="1" applyFont="1" applyFill="1" applyBorder="1" applyAlignment="1" applyProtection="1">
      <alignment horizontal="right" vertical="center"/>
      <protection hidden="1"/>
    </xf>
    <xf numFmtId="4" fontId="94" fillId="43" borderId="9" xfId="0" applyNumberFormat="1" applyFont="1" applyFill="1" applyBorder="1" applyAlignment="1" applyProtection="1">
      <alignment horizontal="left" vertical="center"/>
      <protection hidden="1"/>
    </xf>
    <xf numFmtId="4" fontId="94" fillId="43" borderId="59" xfId="0" applyNumberFormat="1" applyFont="1" applyFill="1" applyBorder="1" applyAlignment="1" applyProtection="1">
      <alignment horizontal="center" vertical="center"/>
      <protection hidden="1"/>
    </xf>
    <xf numFmtId="3" fontId="94" fillId="43" borderId="9" xfId="0" applyNumberFormat="1" applyFont="1" applyFill="1" applyBorder="1" applyAlignment="1" applyProtection="1">
      <alignment vertical="center"/>
      <protection hidden="1"/>
    </xf>
    <xf numFmtId="3" fontId="94" fillId="43" borderId="9" xfId="0" applyNumberFormat="1" applyFont="1" applyFill="1" applyBorder="1" applyAlignment="1" applyProtection="1">
      <alignment horizontal="center" vertical="center"/>
      <protection hidden="1"/>
    </xf>
    <xf numFmtId="167" fontId="87" fillId="43" borderId="60" xfId="0" applyNumberFormat="1" applyFont="1" applyFill="1" applyBorder="1" applyAlignment="1" applyProtection="1">
      <alignment horizontal="right" vertical="center"/>
      <protection hidden="1"/>
    </xf>
    <xf numFmtId="167" fontId="94" fillId="43" borderId="10" xfId="0" applyNumberFormat="1" applyFont="1" applyFill="1" applyBorder="1" applyAlignment="1" applyProtection="1">
      <alignment horizontal="right" vertical="center" indent="1"/>
      <protection hidden="1"/>
    </xf>
    <xf numFmtId="0" fontId="13" fillId="0" borderId="0" xfId="0" applyFont="1"/>
    <xf numFmtId="4" fontId="83" fillId="0" borderId="15" xfId="0" applyNumberFormat="1" applyFont="1" applyBorder="1" applyAlignment="1" applyProtection="1">
      <alignment horizontal="left" vertical="center" indent="2"/>
      <protection hidden="1"/>
    </xf>
    <xf numFmtId="4" fontId="94" fillId="47" borderId="45" xfId="0" applyNumberFormat="1" applyFont="1" applyFill="1" applyBorder="1" applyAlignment="1" applyProtection="1">
      <alignment horizontal="left" vertical="center"/>
      <protection hidden="1"/>
    </xf>
    <xf numFmtId="167" fontId="94" fillId="46" borderId="38" xfId="0" applyNumberFormat="1" applyFont="1" applyFill="1" applyBorder="1" applyAlignment="1" applyProtection="1">
      <alignment horizontal="right" vertical="center"/>
      <protection hidden="1"/>
    </xf>
    <xf numFmtId="4" fontId="83" fillId="43" borderId="0" xfId="0" applyNumberFormat="1" applyFont="1" applyFill="1" applyAlignment="1" applyProtection="1">
      <alignment horizontal="right" vertical="center"/>
      <protection hidden="1"/>
    </xf>
    <xf numFmtId="167" fontId="83" fillId="43" borderId="0" xfId="0" applyNumberFormat="1" applyFont="1" applyFill="1" applyAlignment="1" applyProtection="1">
      <alignment horizontal="left" vertical="center"/>
      <protection hidden="1"/>
    </xf>
    <xf numFmtId="3" fontId="83" fillId="43" borderId="0" xfId="0" applyNumberFormat="1" applyFont="1" applyFill="1" applyAlignment="1" applyProtection="1">
      <alignment horizontal="left" vertical="center"/>
      <protection hidden="1"/>
    </xf>
    <xf numFmtId="188" fontId="84" fillId="43" borderId="0" xfId="0" applyNumberFormat="1" applyFont="1" applyFill="1" applyAlignment="1" applyProtection="1">
      <alignment horizontal="right" vertical="center"/>
      <protection hidden="1"/>
    </xf>
    <xf numFmtId="183" fontId="83" fillId="43" borderId="0" xfId="0" applyNumberFormat="1" applyFont="1" applyFill="1" applyAlignment="1" applyProtection="1">
      <alignment horizontal="right" vertical="center"/>
      <protection hidden="1"/>
    </xf>
    <xf numFmtId="188" fontId="83" fillId="43" borderId="0" xfId="0" applyNumberFormat="1" applyFont="1" applyFill="1" applyAlignment="1" applyProtection="1">
      <alignment horizontal="center" vertical="center"/>
      <protection hidden="1"/>
    </xf>
    <xf numFmtId="183" fontId="83" fillId="43" borderId="0" xfId="0" applyNumberFormat="1" applyFont="1" applyFill="1" applyAlignment="1" applyProtection="1">
      <alignment horizontal="center" vertical="center"/>
      <protection hidden="1"/>
    </xf>
    <xf numFmtId="181" fontId="83" fillId="43" borderId="0" xfId="0" applyNumberFormat="1" applyFont="1" applyFill="1" applyAlignment="1" applyProtection="1">
      <alignment horizontal="left" vertical="center"/>
      <protection hidden="1"/>
    </xf>
    <xf numFmtId="167" fontId="87" fillId="43" borderId="37" xfId="0" applyNumberFormat="1" applyFont="1" applyFill="1" applyBorder="1" applyAlignment="1" applyProtection="1">
      <alignment horizontal="right" vertical="center"/>
      <protection hidden="1"/>
    </xf>
    <xf numFmtId="4" fontId="84" fillId="43" borderId="51" xfId="0" applyNumberFormat="1" applyFont="1" applyFill="1" applyBorder="1" applyAlignment="1" applyProtection="1">
      <alignment horizontal="center" vertical="center"/>
      <protection hidden="1"/>
    </xf>
    <xf numFmtId="3" fontId="84" fillId="43" borderId="51" xfId="0" applyNumberFormat="1" applyFont="1" applyFill="1" applyBorder="1" applyAlignment="1" applyProtection="1">
      <alignment horizontal="right" vertical="center"/>
      <protection hidden="1"/>
    </xf>
    <xf numFmtId="4" fontId="84" fillId="43" borderId="51" xfId="0" applyNumberFormat="1" applyFont="1" applyFill="1" applyBorder="1" applyAlignment="1" applyProtection="1">
      <alignment horizontal="left" vertical="center"/>
      <protection hidden="1"/>
    </xf>
    <xf numFmtId="3" fontId="84" fillId="43" borderId="51" xfId="0" applyNumberFormat="1" applyFont="1" applyFill="1" applyBorder="1" applyAlignment="1" applyProtection="1">
      <alignment vertical="center"/>
      <protection hidden="1"/>
    </xf>
    <xf numFmtId="3" fontId="84" fillId="43" borderId="51" xfId="0" applyNumberFormat="1" applyFont="1" applyFill="1" applyBorder="1" applyAlignment="1" applyProtection="1">
      <alignment horizontal="center" vertical="center"/>
      <protection hidden="1"/>
    </xf>
    <xf numFmtId="167" fontId="84" fillId="43" borderId="52" xfId="0" applyNumberFormat="1" applyFont="1" applyFill="1" applyBorder="1" applyAlignment="1" applyProtection="1">
      <alignment horizontal="right" vertical="center" indent="1"/>
      <protection hidden="1"/>
    </xf>
    <xf numFmtId="167" fontId="87" fillId="43" borderId="38" xfId="0" applyNumberFormat="1" applyFont="1" applyFill="1" applyBorder="1" applyAlignment="1" applyProtection="1">
      <alignment horizontal="right" vertical="center"/>
      <protection hidden="1"/>
    </xf>
    <xf numFmtId="183" fontId="83" fillId="43" borderId="0" xfId="303" applyNumberFormat="1" applyFont="1" applyFill="1" applyAlignment="1" applyProtection="1">
      <alignment horizontal="right" vertical="center"/>
      <protection hidden="1"/>
    </xf>
    <xf numFmtId="188" fontId="83" fillId="43" borderId="0" xfId="303" applyNumberFormat="1" applyFont="1" applyFill="1" applyAlignment="1" applyProtection="1">
      <alignment horizontal="center" vertical="center"/>
      <protection hidden="1"/>
    </xf>
    <xf numFmtId="167" fontId="84" fillId="43" borderId="52" xfId="303" applyNumberFormat="1" applyFont="1" applyFill="1" applyBorder="1" applyAlignment="1" applyProtection="1">
      <alignment horizontal="right" vertical="center" indent="1"/>
      <protection hidden="1"/>
    </xf>
    <xf numFmtId="188" fontId="84" fillId="43" borderId="0" xfId="303" applyNumberFormat="1" applyFont="1" applyFill="1" applyAlignment="1" applyProtection="1">
      <alignment horizontal="right" vertical="center"/>
      <protection hidden="1"/>
    </xf>
    <xf numFmtId="0" fontId="79" fillId="43" borderId="32" xfId="0" applyFont="1" applyFill="1" applyBorder="1" applyAlignment="1">
      <alignment horizontal="left" vertical="center" wrapText="1" indent="1"/>
    </xf>
    <xf numFmtId="4" fontId="79" fillId="43" borderId="51" xfId="1" applyNumberFormat="1" applyFont="1" applyFill="1" applyBorder="1" applyAlignment="1" applyProtection="1">
      <alignment horizontal="center" vertical="center"/>
      <protection hidden="1"/>
    </xf>
    <xf numFmtId="167" fontId="21" fillId="43" borderId="51" xfId="1" applyNumberFormat="1" applyFont="1" applyFill="1" applyBorder="1" applyAlignment="1" applyProtection="1">
      <alignment horizontal="center" vertical="center"/>
      <protection hidden="1"/>
    </xf>
    <xf numFmtId="167" fontId="20" fillId="43" borderId="51" xfId="1" applyNumberFormat="1" applyFont="1" applyFill="1" applyBorder="1" applyAlignment="1" applyProtection="1">
      <alignment horizontal="right" vertical="center"/>
      <protection hidden="1"/>
    </xf>
    <xf numFmtId="0" fontId="102" fillId="0" borderId="0" xfId="0" applyFont="1"/>
    <xf numFmtId="4" fontId="84" fillId="43" borderId="44" xfId="303" applyNumberFormat="1" applyFont="1" applyFill="1" applyBorder="1" applyAlignment="1" applyProtection="1">
      <alignment horizontal="left" vertical="center"/>
      <protection hidden="1"/>
    </xf>
    <xf numFmtId="0" fontId="91" fillId="0" borderId="0" xfId="0" applyFont="1" applyAlignment="1">
      <alignment vertical="center" wrapText="1"/>
    </xf>
    <xf numFmtId="0" fontId="103" fillId="0" borderId="0" xfId="0" applyFont="1" applyAlignment="1">
      <alignment horizontal="center" vertical="center" wrapText="1"/>
    </xf>
    <xf numFmtId="0" fontId="103" fillId="0" borderId="0" xfId="0" applyFont="1" applyAlignment="1">
      <alignment vertical="center" wrapText="1"/>
    </xf>
    <xf numFmtId="0" fontId="79" fillId="0" borderId="61" xfId="0" applyFont="1" applyBorder="1" applyAlignment="1">
      <alignment horizontal="left" vertical="center" wrapText="1" indent="1"/>
    </xf>
    <xf numFmtId="0" fontId="79" fillId="43" borderId="61" xfId="0" applyFont="1" applyFill="1" applyBorder="1" applyAlignment="1">
      <alignment horizontal="left" vertical="center" wrapText="1" indent="1"/>
    </xf>
    <xf numFmtId="0" fontId="79" fillId="43" borderId="61" xfId="0" applyFont="1" applyFill="1" applyBorder="1" applyAlignment="1">
      <alignment horizontal="left" vertical="center" wrapText="1" indent="3"/>
    </xf>
    <xf numFmtId="0" fontId="97" fillId="43" borderId="32" xfId="0" applyFont="1" applyFill="1" applyBorder="1" applyAlignment="1">
      <alignment horizontal="left" vertical="center" indent="1"/>
    </xf>
    <xf numFmtId="0" fontId="97" fillId="0" borderId="32" xfId="0" applyFont="1" applyBorder="1" applyAlignment="1">
      <alignment horizontal="left" vertical="center" indent="1"/>
    </xf>
    <xf numFmtId="0" fontId="95" fillId="0" borderId="65" xfId="0" applyFont="1" applyBorder="1" applyAlignment="1">
      <alignment horizontal="center" vertical="center"/>
    </xf>
    <xf numFmtId="0" fontId="79" fillId="0" borderId="65" xfId="0" applyFont="1" applyBorder="1" applyAlignment="1">
      <alignment horizontal="left" vertical="center" wrapText="1" indent="1"/>
    </xf>
    <xf numFmtId="0" fontId="79" fillId="0" borderId="66" xfId="0" applyFont="1" applyBorder="1" applyAlignment="1">
      <alignment horizontal="left" vertical="center" wrapText="1" indent="1"/>
    </xf>
    <xf numFmtId="0" fontId="97" fillId="0" borderId="66" xfId="0" applyFont="1" applyBorder="1" applyAlignment="1">
      <alignment horizontal="left" vertical="center" indent="1"/>
    </xf>
    <xf numFmtId="0" fontId="75" fillId="0" borderId="0" xfId="0" applyFont="1"/>
    <xf numFmtId="0" fontId="104" fillId="0" borderId="0" xfId="0" applyFont="1" applyAlignment="1">
      <alignment horizontal="right"/>
    </xf>
    <xf numFmtId="3" fontId="20" fillId="43" borderId="0" xfId="14" applyNumberFormat="1" applyFont="1" applyFill="1" applyBorder="1" applyAlignment="1" applyProtection="1">
      <alignment horizontal="right" vertical="center"/>
      <protection hidden="1"/>
    </xf>
    <xf numFmtId="0" fontId="104" fillId="0" borderId="0" xfId="0" applyFont="1" applyAlignment="1">
      <alignment horizontal="right" vertical="top" wrapText="1"/>
    </xf>
    <xf numFmtId="0" fontId="95" fillId="0" borderId="67" xfId="0" applyFont="1" applyBorder="1" applyAlignment="1">
      <alignment horizontal="center" vertical="center"/>
    </xf>
    <xf numFmtId="0" fontId="79" fillId="0" borderId="67" xfId="0" applyFont="1" applyBorder="1" applyAlignment="1">
      <alignment horizontal="left" vertical="center" wrapText="1" indent="1"/>
    </xf>
    <xf numFmtId="4" fontId="84" fillId="43" borderId="68" xfId="0" applyNumberFormat="1" applyFont="1" applyFill="1" applyBorder="1" applyAlignment="1" applyProtection="1">
      <alignment horizontal="left" vertical="center"/>
      <protection hidden="1"/>
    </xf>
    <xf numFmtId="167" fontId="84" fillId="43" borderId="69" xfId="0" applyNumberFormat="1" applyFont="1" applyFill="1" applyBorder="1" applyAlignment="1" applyProtection="1">
      <alignment horizontal="right" vertical="center"/>
      <protection hidden="1"/>
    </xf>
    <xf numFmtId="4" fontId="83" fillId="43" borderId="70" xfId="0" applyNumberFormat="1" applyFont="1" applyFill="1" applyBorder="1" applyAlignment="1" applyProtection="1">
      <alignment horizontal="center" vertical="center"/>
      <protection hidden="1"/>
    </xf>
    <xf numFmtId="3" fontId="83" fillId="43" borderId="70" xfId="0" applyNumberFormat="1" applyFont="1" applyFill="1" applyBorder="1" applyAlignment="1" applyProtection="1">
      <alignment horizontal="right" vertical="center"/>
      <protection hidden="1"/>
    </xf>
    <xf numFmtId="3" fontId="83" fillId="43" borderId="71" xfId="0" applyNumberFormat="1" applyFont="1" applyFill="1" applyBorder="1" applyAlignment="1" applyProtection="1">
      <alignment horizontal="right" vertical="center"/>
      <protection hidden="1"/>
    </xf>
    <xf numFmtId="4" fontId="83" fillId="43" borderId="70" xfId="0" applyNumberFormat="1" applyFont="1" applyFill="1" applyBorder="1" applyAlignment="1" applyProtection="1">
      <alignment horizontal="left" vertical="center"/>
      <protection hidden="1"/>
    </xf>
    <xf numFmtId="4" fontId="83" fillId="43" borderId="69" xfId="0" applyNumberFormat="1" applyFont="1" applyFill="1" applyBorder="1" applyAlignment="1" applyProtection="1">
      <alignment horizontal="center" vertical="center"/>
      <protection hidden="1"/>
    </xf>
    <xf numFmtId="3" fontId="83" fillId="43" borderId="70" xfId="0" applyNumberFormat="1" applyFont="1" applyFill="1" applyBorder="1" applyAlignment="1" applyProtection="1">
      <alignment vertical="center"/>
      <protection hidden="1"/>
    </xf>
    <xf numFmtId="3" fontId="83" fillId="43" borderId="70" xfId="0" applyNumberFormat="1" applyFont="1" applyFill="1" applyBorder="1" applyAlignment="1" applyProtection="1">
      <alignment horizontal="center" vertical="center"/>
      <protection hidden="1"/>
    </xf>
    <xf numFmtId="167" fontId="84" fillId="0" borderId="71" xfId="0" applyNumberFormat="1" applyFont="1" applyBorder="1" applyAlignment="1" applyProtection="1">
      <alignment horizontal="right" vertical="center"/>
      <protection hidden="1"/>
    </xf>
    <xf numFmtId="167" fontId="84" fillId="43" borderId="72" xfId="0" applyNumberFormat="1" applyFont="1" applyFill="1" applyBorder="1" applyAlignment="1" applyProtection="1">
      <alignment horizontal="right" vertical="center" indent="1"/>
      <protection hidden="1"/>
    </xf>
    <xf numFmtId="189" fontId="83" fillId="43" borderId="70" xfId="0" applyNumberFormat="1" applyFont="1" applyFill="1" applyBorder="1" applyAlignment="1" applyProtection="1">
      <alignment horizontal="center" vertical="center"/>
      <protection hidden="1"/>
    </xf>
    <xf numFmtId="167" fontId="84" fillId="43" borderId="71" xfId="0" applyNumberFormat="1" applyFont="1" applyFill="1" applyBorder="1" applyAlignment="1" applyProtection="1">
      <alignment horizontal="right" vertical="center"/>
      <protection hidden="1"/>
    </xf>
    <xf numFmtId="167" fontId="83" fillId="43" borderId="70" xfId="0" applyNumberFormat="1" applyFont="1" applyFill="1" applyBorder="1" applyAlignment="1" applyProtection="1">
      <alignment horizontal="right" vertical="center"/>
      <protection hidden="1"/>
    </xf>
    <xf numFmtId="196" fontId="83" fillId="43" borderId="0" xfId="0" applyNumberFormat="1" applyFont="1" applyFill="1" applyAlignment="1" applyProtection="1">
      <alignment horizontal="center" vertical="center"/>
      <protection hidden="1"/>
    </xf>
    <xf numFmtId="188" fontId="83" fillId="43" borderId="70" xfId="0" applyNumberFormat="1" applyFont="1" applyFill="1" applyBorder="1" applyAlignment="1" applyProtection="1">
      <alignment horizontal="right" vertical="center"/>
      <protection hidden="1"/>
    </xf>
    <xf numFmtId="4" fontId="83" fillId="45" borderId="74" xfId="0" applyNumberFormat="1" applyFont="1" applyFill="1" applyBorder="1" applyAlignment="1" applyProtection="1">
      <alignment horizontal="left" vertical="center"/>
      <protection hidden="1"/>
    </xf>
    <xf numFmtId="4" fontId="83" fillId="45" borderId="73" xfId="0" applyNumberFormat="1" applyFont="1" applyFill="1" applyBorder="1" applyAlignment="1" applyProtection="1">
      <alignment horizontal="center" vertical="center"/>
      <protection hidden="1"/>
    </xf>
    <xf numFmtId="3" fontId="83" fillId="45" borderId="74" xfId="0" applyNumberFormat="1" applyFont="1" applyFill="1" applyBorder="1" applyAlignment="1" applyProtection="1">
      <alignment vertical="center"/>
      <protection hidden="1"/>
    </xf>
    <xf numFmtId="3" fontId="83" fillId="45" borderId="74" xfId="0" applyNumberFormat="1" applyFont="1" applyFill="1" applyBorder="1" applyAlignment="1" applyProtection="1">
      <alignment horizontal="center" vertical="center"/>
      <protection hidden="1"/>
    </xf>
    <xf numFmtId="3" fontId="83" fillId="45" borderId="74" xfId="0" applyNumberFormat="1" applyFont="1" applyFill="1" applyBorder="1" applyAlignment="1" applyProtection="1">
      <alignment horizontal="right" vertical="center"/>
      <protection hidden="1"/>
    </xf>
    <xf numFmtId="167" fontId="84" fillId="45" borderId="75" xfId="0" applyNumberFormat="1" applyFont="1" applyFill="1" applyBorder="1" applyAlignment="1" applyProtection="1">
      <alignment horizontal="right" vertical="center"/>
      <protection hidden="1"/>
    </xf>
    <xf numFmtId="167" fontId="84" fillId="45" borderId="73" xfId="0" applyNumberFormat="1" applyFont="1" applyFill="1" applyBorder="1" applyAlignment="1" applyProtection="1">
      <alignment horizontal="right" vertical="center"/>
      <protection hidden="1"/>
    </xf>
    <xf numFmtId="4" fontId="83" fillId="45" borderId="74" xfId="0" applyNumberFormat="1" applyFont="1" applyFill="1" applyBorder="1" applyAlignment="1" applyProtection="1">
      <alignment horizontal="center" vertical="center"/>
      <protection hidden="1"/>
    </xf>
    <xf numFmtId="190" fontId="83" fillId="45" borderId="74" xfId="0" applyNumberFormat="1" applyFont="1" applyFill="1" applyBorder="1" applyAlignment="1" applyProtection="1">
      <alignment horizontal="right" vertical="center"/>
      <protection hidden="1"/>
    </xf>
    <xf numFmtId="3" fontId="83" fillId="45" borderId="75" xfId="0" applyNumberFormat="1" applyFont="1" applyFill="1" applyBorder="1" applyAlignment="1" applyProtection="1">
      <alignment horizontal="right" vertical="center"/>
      <protection hidden="1"/>
    </xf>
    <xf numFmtId="197" fontId="83" fillId="46" borderId="4" xfId="0" applyNumberFormat="1" applyFont="1" applyFill="1" applyBorder="1" applyAlignment="1" applyProtection="1">
      <alignment horizontal="right" vertical="center"/>
      <protection hidden="1"/>
    </xf>
    <xf numFmtId="4" fontId="84" fillId="43" borderId="70" xfId="0" applyNumberFormat="1" applyFont="1" applyFill="1" applyBorder="1" applyAlignment="1" applyProtection="1">
      <alignment horizontal="center" vertical="center"/>
      <protection hidden="1"/>
    </xf>
    <xf numFmtId="3" fontId="84" fillId="43" borderId="70" xfId="0" applyNumberFormat="1" applyFont="1" applyFill="1" applyBorder="1" applyAlignment="1" applyProtection="1">
      <alignment horizontal="right" vertical="center"/>
      <protection hidden="1"/>
    </xf>
    <xf numFmtId="3" fontId="84" fillId="43" borderId="71" xfId="0" applyNumberFormat="1" applyFont="1" applyFill="1" applyBorder="1" applyAlignment="1" applyProtection="1">
      <alignment horizontal="right" vertical="center"/>
      <protection hidden="1"/>
    </xf>
    <xf numFmtId="4" fontId="84" fillId="43" borderId="70" xfId="0" applyNumberFormat="1" applyFont="1" applyFill="1" applyBorder="1" applyAlignment="1" applyProtection="1">
      <alignment horizontal="left" vertical="center"/>
      <protection hidden="1"/>
    </xf>
    <xf numFmtId="4" fontId="84" fillId="43" borderId="69" xfId="0" applyNumberFormat="1" applyFont="1" applyFill="1" applyBorder="1" applyAlignment="1" applyProtection="1">
      <alignment horizontal="center" vertical="center"/>
      <protection hidden="1"/>
    </xf>
    <xf numFmtId="3" fontId="84" fillId="43" borderId="70" xfId="0" applyNumberFormat="1" applyFont="1" applyFill="1" applyBorder="1" applyAlignment="1" applyProtection="1">
      <alignment vertical="center"/>
      <protection hidden="1"/>
    </xf>
    <xf numFmtId="3" fontId="84" fillId="43" borderId="70" xfId="0" applyNumberFormat="1" applyFont="1" applyFill="1" applyBorder="1" applyAlignment="1" applyProtection="1">
      <alignment horizontal="center" vertical="center"/>
      <protection hidden="1"/>
    </xf>
    <xf numFmtId="194" fontId="83" fillId="45" borderId="74" xfId="0" applyNumberFormat="1" applyFont="1" applyFill="1" applyBorder="1" applyAlignment="1" applyProtection="1">
      <alignment horizontal="right" vertical="center"/>
      <protection hidden="1"/>
    </xf>
    <xf numFmtId="181" fontId="83" fillId="43" borderId="70" xfId="0" applyNumberFormat="1" applyFont="1" applyFill="1" applyBorder="1" applyAlignment="1" applyProtection="1">
      <alignment vertical="center"/>
      <protection hidden="1"/>
    </xf>
    <xf numFmtId="194" fontId="83" fillId="43" borderId="70" xfId="0" applyNumberFormat="1" applyFont="1" applyFill="1" applyBorder="1" applyAlignment="1" applyProtection="1">
      <alignment vertical="center"/>
      <protection hidden="1"/>
    </xf>
    <xf numFmtId="183" fontId="83" fillId="43" borderId="70" xfId="0" applyNumberFormat="1" applyFont="1" applyFill="1" applyBorder="1" applyAlignment="1" applyProtection="1">
      <alignment vertical="center"/>
      <protection hidden="1"/>
    </xf>
    <xf numFmtId="167" fontId="84" fillId="43" borderId="76" xfId="0" applyNumberFormat="1" applyFont="1" applyFill="1" applyBorder="1" applyAlignment="1" applyProtection="1">
      <alignment horizontal="right" vertical="center" indent="1"/>
      <protection hidden="1"/>
    </xf>
    <xf numFmtId="190" fontId="83" fillId="45" borderId="74" xfId="0" applyNumberFormat="1" applyFont="1" applyFill="1" applyBorder="1" applyAlignment="1" applyProtection="1">
      <alignment vertical="center"/>
      <protection hidden="1"/>
    </xf>
    <xf numFmtId="191" fontId="83" fillId="43" borderId="70" xfId="0" applyNumberFormat="1" applyFont="1" applyFill="1" applyBorder="1" applyAlignment="1" applyProtection="1">
      <alignment vertical="center"/>
      <protection hidden="1"/>
    </xf>
    <xf numFmtId="183" fontId="83" fillId="45" borderId="74" xfId="0" applyNumberFormat="1" applyFont="1" applyFill="1" applyBorder="1" applyAlignment="1" applyProtection="1">
      <alignment vertical="center"/>
      <protection hidden="1"/>
    </xf>
    <xf numFmtId="167" fontId="83" fillId="46" borderId="41" xfId="0" applyNumberFormat="1" applyFont="1" applyFill="1" applyBorder="1" applyAlignment="1" applyProtection="1">
      <alignment horizontal="center" vertical="center"/>
      <protection hidden="1"/>
    </xf>
    <xf numFmtId="198" fontId="83" fillId="46" borderId="4" xfId="316" applyNumberFormat="1" applyFont="1" applyFill="1" applyBorder="1" applyAlignment="1" applyProtection="1">
      <alignment vertical="center"/>
      <protection hidden="1"/>
    </xf>
    <xf numFmtId="167" fontId="84" fillId="0" borderId="69" xfId="0" applyNumberFormat="1" applyFont="1" applyBorder="1" applyAlignment="1" applyProtection="1">
      <alignment horizontal="right" vertical="center"/>
      <protection hidden="1"/>
    </xf>
    <xf numFmtId="0" fontId="95" fillId="43" borderId="77" xfId="0" applyFont="1" applyFill="1" applyBorder="1" applyAlignment="1">
      <alignment horizontal="center" vertical="center"/>
    </xf>
    <xf numFmtId="0" fontId="79" fillId="43" borderId="77" xfId="0" applyFont="1" applyFill="1" applyBorder="1" applyAlignment="1">
      <alignment horizontal="left" vertical="center" wrapText="1" indent="1"/>
    </xf>
    <xf numFmtId="3" fontId="105" fillId="43" borderId="35" xfId="1" applyNumberFormat="1" applyFont="1" applyFill="1" applyBorder="1" applyAlignment="1" applyProtection="1">
      <alignment horizontal="center" vertical="center"/>
      <protection hidden="1"/>
    </xf>
    <xf numFmtId="167" fontId="21" fillId="43" borderId="78" xfId="1" applyNumberFormat="1" applyFont="1" applyFill="1" applyBorder="1" applyAlignment="1" applyProtection="1">
      <alignment horizontal="right" vertical="center"/>
      <protection hidden="1"/>
    </xf>
    <xf numFmtId="167" fontId="21" fillId="43" borderId="79" xfId="0" applyNumberFormat="1" applyFont="1" applyFill="1" applyBorder="1" applyAlignment="1" applyProtection="1">
      <alignment horizontal="right" vertical="center"/>
      <protection hidden="1"/>
    </xf>
    <xf numFmtId="167" fontId="21" fillId="43" borderId="78" xfId="0" applyNumberFormat="1" applyFont="1" applyFill="1" applyBorder="1" applyAlignment="1" applyProtection="1">
      <alignment horizontal="right" vertical="center"/>
      <protection hidden="1"/>
    </xf>
    <xf numFmtId="167" fontId="106" fillId="43" borderId="5" xfId="1" applyNumberFormat="1" applyFont="1" applyFill="1" applyBorder="1" applyAlignment="1" applyProtection="1">
      <alignment horizontal="right" vertical="center"/>
      <protection hidden="1"/>
    </xf>
    <xf numFmtId="167" fontId="106" fillId="43" borderId="5" xfId="0" applyNumberFormat="1" applyFont="1" applyFill="1" applyBorder="1" applyAlignment="1" applyProtection="1">
      <alignment horizontal="right" vertical="center"/>
      <protection hidden="1"/>
    </xf>
    <xf numFmtId="167" fontId="107" fillId="43" borderId="5" xfId="1" applyNumberFormat="1" applyFont="1" applyFill="1" applyBorder="1" applyAlignment="1" applyProtection="1">
      <alignment horizontal="right" vertical="center"/>
      <protection hidden="1"/>
    </xf>
    <xf numFmtId="167" fontId="107" fillId="43" borderId="6" xfId="1" applyNumberFormat="1" applyFont="1" applyFill="1" applyBorder="1" applyAlignment="1" applyProtection="1">
      <alignment horizontal="right" vertical="center"/>
      <protection hidden="1"/>
    </xf>
    <xf numFmtId="167" fontId="106" fillId="43" borderId="6" xfId="0" applyNumberFormat="1" applyFont="1" applyFill="1" applyBorder="1" applyAlignment="1" applyProtection="1">
      <alignment horizontal="right" vertical="center"/>
      <protection hidden="1"/>
    </xf>
    <xf numFmtId="0" fontId="21" fillId="43" borderId="80" xfId="0" applyFont="1" applyFill="1" applyBorder="1" applyAlignment="1" applyProtection="1">
      <alignment horizontal="left" vertical="center" indent="3"/>
      <protection hidden="1"/>
    </xf>
    <xf numFmtId="167" fontId="105" fillId="43" borderId="0" xfId="0" applyNumberFormat="1" applyFont="1" applyFill="1" applyAlignment="1" applyProtection="1">
      <alignment horizontal="center" vertical="center"/>
      <protection hidden="1"/>
    </xf>
    <xf numFmtId="173" fontId="88" fillId="43" borderId="79" xfId="1" applyNumberFormat="1" applyFont="1" applyFill="1" applyBorder="1" applyAlignment="1" applyProtection="1">
      <alignment horizontal="center" vertical="center"/>
      <protection hidden="1"/>
    </xf>
    <xf numFmtId="167" fontId="21" fillId="43" borderId="79" xfId="1" applyNumberFormat="1" applyFont="1" applyFill="1" applyBorder="1" applyAlignment="1" applyProtection="1">
      <alignment horizontal="right" vertical="center"/>
      <protection hidden="1"/>
    </xf>
    <xf numFmtId="167" fontId="21" fillId="43" borderId="78" xfId="1" applyNumberFormat="1" applyFont="1" applyFill="1" applyBorder="1" applyAlignment="1" applyProtection="1">
      <alignment horizontal="center" vertical="center"/>
      <protection hidden="1"/>
    </xf>
    <xf numFmtId="167" fontId="22" fillId="43" borderId="81" xfId="0" applyNumberFormat="1" applyFont="1" applyFill="1" applyBorder="1" applyAlignment="1" applyProtection="1">
      <alignment horizontal="center" vertical="center"/>
      <protection hidden="1"/>
    </xf>
    <xf numFmtId="167" fontId="105" fillId="43" borderId="15" xfId="1" applyNumberFormat="1" applyFont="1" applyFill="1" applyBorder="1" applyAlignment="1" applyProtection="1">
      <alignment horizontal="center" vertical="center"/>
      <protection hidden="1"/>
    </xf>
    <xf numFmtId="167" fontId="105" fillId="43" borderId="16" xfId="1" applyNumberFormat="1" applyFont="1" applyFill="1" applyBorder="1" applyAlignment="1" applyProtection="1">
      <alignment horizontal="center" vertical="center"/>
      <protection hidden="1"/>
    </xf>
    <xf numFmtId="4" fontId="105" fillId="43" borderId="15" xfId="1" applyNumberFormat="1" applyFont="1" applyFill="1" applyBorder="1" applyAlignment="1" applyProtection="1">
      <alignment horizontal="center" vertical="center"/>
      <protection hidden="1"/>
    </xf>
    <xf numFmtId="179" fontId="21" fillId="43" borderId="15" xfId="0" applyNumberFormat="1" applyFont="1" applyFill="1" applyBorder="1" applyAlignment="1" applyProtection="1">
      <alignment horizontal="center" vertical="center"/>
      <protection hidden="1"/>
    </xf>
    <xf numFmtId="0" fontId="21" fillId="43" borderId="11" xfId="0" applyFont="1" applyFill="1" applyBorder="1" applyAlignment="1" applyProtection="1">
      <alignment horizontal="left" vertical="center" wrapText="1" indent="5"/>
      <protection hidden="1"/>
    </xf>
    <xf numFmtId="4" fontId="105" fillId="43" borderId="16" xfId="1" applyNumberFormat="1" applyFont="1" applyFill="1" applyBorder="1" applyAlignment="1" applyProtection="1">
      <alignment horizontal="center" vertical="center"/>
      <protection hidden="1"/>
    </xf>
    <xf numFmtId="179" fontId="21" fillId="2" borderId="16" xfId="0" applyNumberFormat="1" applyFont="1" applyFill="1" applyBorder="1" applyAlignment="1" applyProtection="1">
      <alignment horizontal="center" vertical="center"/>
      <protection locked="0" hidden="1"/>
    </xf>
    <xf numFmtId="167" fontId="20" fillId="43" borderId="16" xfId="0" applyNumberFormat="1" applyFont="1" applyFill="1" applyBorder="1" applyAlignment="1" applyProtection="1">
      <alignment horizontal="right" vertical="center"/>
      <protection hidden="1"/>
    </xf>
    <xf numFmtId="167" fontId="79" fillId="43" borderId="0" xfId="0" applyNumberFormat="1" applyFont="1" applyFill="1" applyAlignment="1" applyProtection="1">
      <alignment horizontal="right" vertical="center"/>
      <protection hidden="1"/>
    </xf>
    <xf numFmtId="167" fontId="79" fillId="43" borderId="5" xfId="0" applyNumberFormat="1" applyFont="1" applyFill="1" applyBorder="1" applyAlignment="1" applyProtection="1">
      <alignment horizontal="right" vertical="center"/>
      <protection hidden="1"/>
    </xf>
    <xf numFmtId="167" fontId="19" fillId="43" borderId="12" xfId="1" applyNumberFormat="1" applyFont="1" applyFill="1" applyBorder="1" applyAlignment="1" applyProtection="1">
      <alignment horizontal="center" vertical="center"/>
      <protection hidden="1"/>
    </xf>
    <xf numFmtId="167" fontId="92" fillId="43" borderId="0" xfId="1" applyNumberFormat="1" applyFont="1" applyFill="1" applyBorder="1" applyAlignment="1" applyProtection="1">
      <alignment horizontal="center" vertical="center"/>
      <protection hidden="1"/>
    </xf>
    <xf numFmtId="0" fontId="20" fillId="43" borderId="5" xfId="0" applyFont="1" applyFill="1" applyBorder="1" applyAlignment="1">
      <alignment vertical="center"/>
    </xf>
    <xf numFmtId="0" fontId="108" fillId="43" borderId="11" xfId="0" applyFont="1" applyFill="1" applyBorder="1" applyAlignment="1" applyProtection="1">
      <alignment horizontal="left" vertical="center" indent="5"/>
      <protection hidden="1"/>
    </xf>
    <xf numFmtId="167" fontId="92" fillId="43" borderId="16" xfId="1" applyNumberFormat="1" applyFont="1" applyFill="1" applyBorder="1" applyAlignment="1" applyProtection="1">
      <alignment horizontal="center" vertical="center"/>
      <protection hidden="1"/>
    </xf>
    <xf numFmtId="167" fontId="19" fillId="43" borderId="11" xfId="1" applyNumberFormat="1" applyFont="1" applyFill="1" applyBorder="1" applyAlignment="1" applyProtection="1">
      <alignment horizontal="center" vertical="center"/>
      <protection hidden="1"/>
    </xf>
    <xf numFmtId="173" fontId="21" fillId="43" borderId="4" xfId="1" applyNumberFormat="1" applyFont="1" applyFill="1" applyBorder="1" applyAlignment="1" applyProtection="1">
      <alignment horizontal="center" vertical="center"/>
      <protection hidden="1"/>
    </xf>
    <xf numFmtId="167" fontId="106" fillId="43" borderId="4" xfId="0" applyNumberFormat="1" applyFont="1" applyFill="1" applyBorder="1" applyAlignment="1" applyProtection="1">
      <alignment horizontal="right" vertical="center"/>
      <protection hidden="1"/>
    </xf>
    <xf numFmtId="167" fontId="88" fillId="43" borderId="16" xfId="0" applyNumberFormat="1" applyFont="1" applyFill="1" applyBorder="1" applyAlignment="1" applyProtection="1">
      <alignment horizontal="right" vertical="center"/>
      <protection hidden="1"/>
    </xf>
    <xf numFmtId="0" fontId="21" fillId="43" borderId="82" xfId="0" applyFont="1" applyFill="1" applyBorder="1" applyAlignment="1" applyProtection="1">
      <alignment horizontal="left" vertical="center" indent="5"/>
      <protection hidden="1"/>
    </xf>
    <xf numFmtId="167" fontId="92" fillId="43" borderId="83" xfId="1" applyNumberFormat="1" applyFont="1" applyFill="1" applyBorder="1" applyAlignment="1" applyProtection="1">
      <alignment horizontal="center" vertical="center"/>
      <protection hidden="1"/>
    </xf>
    <xf numFmtId="173" fontId="20" fillId="43" borderId="83" xfId="1" applyNumberFormat="1" applyFont="1" applyFill="1" applyBorder="1" applyAlignment="1" applyProtection="1">
      <alignment horizontal="center" vertical="center"/>
      <protection hidden="1"/>
    </xf>
    <xf numFmtId="167" fontId="88" fillId="43" borderId="83" xfId="1" applyNumberFormat="1" applyFont="1" applyFill="1" applyBorder="1" applyAlignment="1" applyProtection="1">
      <alignment horizontal="right" vertical="center"/>
      <protection hidden="1"/>
    </xf>
    <xf numFmtId="167" fontId="21" fillId="43" borderId="82" xfId="1" applyNumberFormat="1" applyFont="1" applyFill="1" applyBorder="1" applyAlignment="1" applyProtection="1">
      <alignment horizontal="center" vertical="center"/>
      <protection hidden="1"/>
    </xf>
    <xf numFmtId="173" fontId="21" fillId="2" borderId="84" xfId="1" applyNumberFormat="1" applyFont="1" applyFill="1" applyBorder="1" applyAlignment="1" applyProtection="1">
      <alignment horizontal="center" vertical="center"/>
      <protection locked="0" hidden="1"/>
    </xf>
    <xf numFmtId="167" fontId="88" fillId="43" borderId="83" xfId="0" applyNumberFormat="1" applyFont="1" applyFill="1" applyBorder="1" applyAlignment="1" applyProtection="1">
      <alignment horizontal="right" vertical="center"/>
      <protection hidden="1"/>
    </xf>
    <xf numFmtId="167" fontId="106" fillId="43" borderId="85" xfId="0" applyNumberFormat="1" applyFont="1" applyFill="1" applyBorder="1" applyAlignment="1" applyProtection="1">
      <alignment horizontal="right" vertical="center"/>
      <protection hidden="1"/>
    </xf>
    <xf numFmtId="167" fontId="88" fillId="43" borderId="85" xfId="0" applyNumberFormat="1" applyFont="1" applyFill="1" applyBorder="1" applyAlignment="1" applyProtection="1">
      <alignment horizontal="right" vertical="center"/>
      <protection hidden="1"/>
    </xf>
    <xf numFmtId="0" fontId="21" fillId="43" borderId="5" xfId="0" applyFont="1" applyFill="1" applyBorder="1" applyAlignment="1">
      <alignment vertical="center"/>
    </xf>
    <xf numFmtId="0" fontId="21" fillId="43" borderId="14" xfId="0" applyFont="1" applyFill="1" applyBorder="1" applyAlignment="1" applyProtection="1">
      <alignment horizontal="left" vertical="center" indent="5"/>
      <protection hidden="1"/>
    </xf>
    <xf numFmtId="4" fontId="22" fillId="43" borderId="44" xfId="1" applyNumberFormat="1" applyFont="1" applyFill="1" applyBorder="1" applyAlignment="1" applyProtection="1">
      <alignment horizontal="center" vertical="center"/>
      <protection hidden="1"/>
    </xf>
    <xf numFmtId="167" fontId="21" fillId="43" borderId="86" xfId="1" applyNumberFormat="1" applyFont="1" applyFill="1" applyBorder="1" applyAlignment="1" applyProtection="1">
      <alignment horizontal="center" vertical="center"/>
      <protection hidden="1"/>
    </xf>
    <xf numFmtId="167" fontId="21" fillId="43" borderId="86" xfId="1" applyNumberFormat="1" applyFont="1" applyFill="1" applyBorder="1" applyAlignment="1" applyProtection="1">
      <alignment horizontal="right" vertical="center"/>
      <protection hidden="1"/>
    </xf>
    <xf numFmtId="167" fontId="19" fillId="43" borderId="86" xfId="1" applyNumberFormat="1" applyFont="1" applyFill="1" applyBorder="1" applyAlignment="1" applyProtection="1">
      <alignment horizontal="right" vertical="center"/>
      <protection hidden="1"/>
    </xf>
    <xf numFmtId="167" fontId="21" fillId="43" borderId="14" xfId="1" applyNumberFormat="1" applyFont="1" applyFill="1" applyBorder="1" applyAlignment="1" applyProtection="1">
      <alignment horizontal="center" vertical="center"/>
      <protection hidden="1"/>
    </xf>
    <xf numFmtId="0" fontId="21" fillId="43" borderId="44" xfId="0" applyFont="1" applyFill="1" applyBorder="1" applyAlignment="1" applyProtection="1">
      <alignment horizontal="center" vertical="center"/>
      <protection hidden="1"/>
    </xf>
    <xf numFmtId="167" fontId="21" fillId="43" borderId="86" xfId="0" applyNumberFormat="1" applyFont="1" applyFill="1" applyBorder="1" applyAlignment="1" applyProtection="1">
      <alignment horizontal="right" vertical="center"/>
      <protection hidden="1"/>
    </xf>
    <xf numFmtId="167" fontId="22" fillId="43" borderId="52" xfId="0" applyNumberFormat="1" applyFont="1" applyFill="1" applyBorder="1" applyAlignment="1" applyProtection="1">
      <alignment horizontal="right" vertical="center"/>
      <protection hidden="1"/>
    </xf>
    <xf numFmtId="167" fontId="81" fillId="43" borderId="86" xfId="0" applyNumberFormat="1" applyFont="1" applyFill="1" applyBorder="1" applyAlignment="1" applyProtection="1">
      <alignment horizontal="right" vertical="center"/>
      <protection hidden="1"/>
    </xf>
    <xf numFmtId="167" fontId="81" fillId="43" borderId="52" xfId="0" applyNumberFormat="1" applyFont="1" applyFill="1" applyBorder="1" applyAlignment="1" applyProtection="1">
      <alignment horizontal="right" vertical="center"/>
      <protection hidden="1"/>
    </xf>
    <xf numFmtId="0" fontId="21" fillId="43" borderId="12" xfId="0" applyFont="1" applyFill="1" applyBorder="1" applyAlignment="1" applyProtection="1">
      <alignment horizontal="left" vertical="center" wrapText="1" indent="3"/>
      <protection hidden="1"/>
    </xf>
    <xf numFmtId="0" fontId="80" fillId="43" borderId="36" xfId="0" applyFont="1" applyFill="1" applyBorder="1" applyAlignment="1" applyProtection="1">
      <alignment vertical="center"/>
      <protection hidden="1"/>
    </xf>
    <xf numFmtId="0" fontId="109" fillId="43" borderId="36" xfId="0" applyFont="1" applyFill="1" applyBorder="1" applyAlignment="1" applyProtection="1">
      <alignment vertical="center" wrapText="1"/>
      <protection hidden="1"/>
    </xf>
    <xf numFmtId="185" fontId="88" fillId="43" borderId="0" xfId="316" applyNumberFormat="1" applyFont="1" applyFill="1" applyBorder="1" applyAlignment="1" applyProtection="1">
      <alignment horizontal="left" vertical="center"/>
      <protection hidden="1"/>
    </xf>
    <xf numFmtId="0" fontId="88" fillId="43" borderId="0" xfId="0" applyFont="1" applyFill="1" applyAlignment="1" applyProtection="1">
      <alignment horizontal="center" vertical="center"/>
      <protection hidden="1"/>
    </xf>
    <xf numFmtId="0" fontId="89" fillId="43" borderId="0" xfId="0" applyFont="1" applyFill="1" applyAlignment="1">
      <alignment horizontal="left" vertical="center" indent="2"/>
    </xf>
    <xf numFmtId="1" fontId="88" fillId="43" borderId="0" xfId="0" applyNumberFormat="1" applyFont="1" applyFill="1" applyAlignment="1">
      <alignment vertical="center"/>
    </xf>
    <xf numFmtId="197" fontId="88" fillId="43" borderId="0" xfId="0" applyNumberFormat="1" applyFont="1" applyFill="1" applyAlignment="1">
      <alignment vertical="center"/>
    </xf>
    <xf numFmtId="0" fontId="80" fillId="43" borderId="12" xfId="0" applyFont="1" applyFill="1" applyBorder="1" applyAlignment="1" applyProtection="1">
      <alignment horizontal="left" vertical="center" indent="6"/>
      <protection hidden="1"/>
    </xf>
    <xf numFmtId="185" fontId="88" fillId="43" borderId="0" xfId="0" applyNumberFormat="1" applyFont="1" applyFill="1" applyAlignment="1">
      <alignment vertical="center"/>
    </xf>
    <xf numFmtId="167" fontId="88" fillId="43" borderId="0" xfId="0" applyNumberFormat="1" applyFont="1" applyFill="1" applyAlignment="1">
      <alignment vertical="center"/>
    </xf>
    <xf numFmtId="187" fontId="88" fillId="43" borderId="0" xfId="0" applyNumberFormat="1" applyFont="1" applyFill="1" applyAlignment="1">
      <alignment horizontal="center" vertical="center"/>
    </xf>
    <xf numFmtId="10" fontId="88" fillId="43" borderId="0" xfId="0" applyNumberFormat="1" applyFont="1" applyFill="1" applyAlignment="1">
      <alignment vertical="center"/>
    </xf>
    <xf numFmtId="9" fontId="88" fillId="43" borderId="0" xfId="0" applyNumberFormat="1" applyFont="1" applyFill="1" applyAlignment="1">
      <alignment vertical="center"/>
    </xf>
    <xf numFmtId="188" fontId="88" fillId="43" borderId="0" xfId="0" applyNumberFormat="1" applyFont="1" applyFill="1" applyAlignment="1">
      <alignment vertical="center"/>
    </xf>
    <xf numFmtId="193" fontId="88" fillId="43" borderId="0" xfId="0" applyNumberFormat="1" applyFont="1" applyFill="1" applyAlignment="1">
      <alignment vertical="center"/>
    </xf>
    <xf numFmtId="199" fontId="88" fillId="43" borderId="0" xfId="0" applyNumberFormat="1" applyFont="1" applyFill="1" applyAlignment="1">
      <alignment horizontal="center" vertical="center"/>
    </xf>
    <xf numFmtId="192" fontId="81" fillId="43" borderId="0" xfId="0" applyNumberFormat="1" applyFont="1" applyFill="1" applyAlignment="1">
      <alignment vertical="center"/>
    </xf>
    <xf numFmtId="0" fontId="21" fillId="43" borderId="0" xfId="0" applyFont="1" applyFill="1" applyAlignment="1" applyProtection="1">
      <alignment horizontal="left" vertical="center" indent="5"/>
      <protection hidden="1"/>
    </xf>
    <xf numFmtId="167" fontId="81" fillId="43" borderId="0" xfId="1" applyNumberFormat="1" applyFont="1" applyFill="1" applyBorder="1" applyAlignment="1" applyProtection="1">
      <alignment horizontal="center" vertical="center"/>
      <protection hidden="1"/>
    </xf>
    <xf numFmtId="192" fontId="88" fillId="43" borderId="0" xfId="0" applyNumberFormat="1" applyFont="1" applyFill="1" applyAlignment="1">
      <alignment vertical="center"/>
    </xf>
    <xf numFmtId="10" fontId="88" fillId="43" borderId="0" xfId="1" applyNumberFormat="1" applyFont="1" applyFill="1" applyAlignment="1" applyProtection="1">
      <alignment vertical="center"/>
    </xf>
    <xf numFmtId="173" fontId="88" fillId="43" borderId="0" xfId="1" applyNumberFormat="1" applyFont="1" applyFill="1" applyAlignment="1" applyProtection="1">
      <alignment vertical="center"/>
    </xf>
    <xf numFmtId="0" fontId="21" fillId="43" borderId="0" xfId="0" applyFont="1" applyFill="1" applyAlignment="1" applyProtection="1">
      <alignment horizontal="left" vertical="center" wrapText="1" indent="5"/>
      <protection hidden="1"/>
    </xf>
    <xf numFmtId="195" fontId="88" fillId="43" borderId="0" xfId="0" applyNumberFormat="1" applyFont="1" applyFill="1" applyAlignment="1">
      <alignment vertical="center"/>
    </xf>
    <xf numFmtId="167" fontId="88" fillId="43" borderId="0" xfId="0" applyNumberFormat="1" applyFont="1" applyFill="1" applyAlignment="1">
      <alignment horizontal="center" vertical="center"/>
    </xf>
    <xf numFmtId="184" fontId="88" fillId="43" borderId="0" xfId="0" applyNumberFormat="1" applyFont="1" applyFill="1" applyAlignment="1">
      <alignment vertical="center"/>
    </xf>
    <xf numFmtId="0" fontId="81" fillId="43" borderId="0" xfId="0" applyFont="1" applyFill="1" applyAlignment="1">
      <alignment horizontal="center" vertical="center"/>
    </xf>
    <xf numFmtId="167" fontId="81" fillId="43" borderId="0" xfId="0" applyNumberFormat="1" applyFont="1" applyFill="1" applyAlignment="1">
      <alignment horizontal="center" vertical="center"/>
    </xf>
    <xf numFmtId="167" fontId="81" fillId="43" borderId="0" xfId="0" applyNumberFormat="1" applyFont="1" applyFill="1" applyAlignment="1">
      <alignment horizontal="left" vertical="center"/>
    </xf>
    <xf numFmtId="0" fontId="88" fillId="43" borderId="0" xfId="0" applyFont="1" applyFill="1" applyAlignment="1">
      <alignment horizontal="right" vertical="center"/>
    </xf>
    <xf numFmtId="49" fontId="81" fillId="43" borderId="0" xfId="0" applyNumberFormat="1" applyFont="1" applyFill="1" applyAlignment="1">
      <alignment horizontal="center" vertical="center"/>
    </xf>
    <xf numFmtId="49" fontId="81" fillId="43" borderId="0" xfId="0" applyNumberFormat="1" applyFont="1" applyFill="1" applyAlignment="1">
      <alignment vertical="center"/>
    </xf>
    <xf numFmtId="2" fontId="81" fillId="43" borderId="0" xfId="0" applyNumberFormat="1" applyFont="1" applyFill="1" applyAlignment="1">
      <alignment horizontal="center" vertical="center"/>
    </xf>
    <xf numFmtId="0" fontId="97" fillId="0" borderId="32" xfId="0" applyFont="1" applyBorder="1" applyAlignment="1">
      <alignment horizontal="left" vertical="center"/>
    </xf>
    <xf numFmtId="3" fontId="94" fillId="48" borderId="86" xfId="0" applyNumberFormat="1" applyFont="1" applyFill="1" applyBorder="1" applyAlignment="1" applyProtection="1">
      <alignment horizontal="center" vertical="center" wrapText="1"/>
      <protection hidden="1"/>
    </xf>
    <xf numFmtId="4" fontId="84" fillId="43" borderId="35" xfId="0" applyNumberFormat="1" applyFont="1" applyFill="1" applyBorder="1" applyAlignment="1" applyProtection="1">
      <alignment horizontal="left" vertical="center"/>
      <protection hidden="1"/>
    </xf>
    <xf numFmtId="167" fontId="84" fillId="43" borderId="33" xfId="0" applyNumberFormat="1" applyFont="1" applyFill="1" applyBorder="1" applyAlignment="1" applyProtection="1">
      <alignment horizontal="right" vertical="center"/>
      <protection hidden="1"/>
    </xf>
    <xf numFmtId="4" fontId="93" fillId="47" borderId="33" xfId="0" applyNumberFormat="1" applyFont="1" applyFill="1" applyBorder="1" applyAlignment="1" applyProtection="1">
      <alignment horizontal="center" vertical="center"/>
      <protection hidden="1"/>
    </xf>
    <xf numFmtId="3" fontId="93" fillId="47" borderId="33" xfId="0" applyNumberFormat="1" applyFont="1" applyFill="1" applyBorder="1" applyAlignment="1" applyProtection="1">
      <alignment horizontal="right" vertical="center"/>
      <protection hidden="1"/>
    </xf>
    <xf numFmtId="3" fontId="93" fillId="47" borderId="87" xfId="0" applyNumberFormat="1" applyFont="1" applyFill="1" applyBorder="1" applyAlignment="1" applyProtection="1">
      <alignment horizontal="right" vertical="center"/>
      <protection hidden="1"/>
    </xf>
    <xf numFmtId="4" fontId="93" fillId="47" borderId="36" xfId="0" applyNumberFormat="1" applyFont="1" applyFill="1" applyBorder="1" applyAlignment="1" applyProtection="1">
      <alignment horizontal="left" vertical="center"/>
      <protection hidden="1"/>
    </xf>
    <xf numFmtId="4" fontId="93" fillId="47" borderId="88" xfId="0" applyNumberFormat="1" applyFont="1" applyFill="1" applyBorder="1" applyAlignment="1" applyProtection="1">
      <alignment horizontal="center" vertical="center"/>
      <protection hidden="1"/>
    </xf>
    <xf numFmtId="4" fontId="93" fillId="43" borderId="33" xfId="0" applyNumberFormat="1" applyFont="1" applyFill="1" applyBorder="1" applyAlignment="1" applyProtection="1">
      <alignment horizontal="center" vertical="center"/>
      <protection hidden="1"/>
    </xf>
    <xf numFmtId="167" fontId="93" fillId="47" borderId="34" xfId="0" applyNumberFormat="1" applyFont="1" applyFill="1" applyBorder="1" applyAlignment="1" applyProtection="1">
      <alignment horizontal="right" vertical="center" indent="1"/>
      <protection hidden="1"/>
    </xf>
    <xf numFmtId="167" fontId="83" fillId="0" borderId="39" xfId="0" applyNumberFormat="1" applyFont="1" applyBorder="1" applyAlignment="1" applyProtection="1">
      <alignment horizontal="right" vertical="center"/>
      <protection hidden="1"/>
    </xf>
    <xf numFmtId="167" fontId="84" fillId="0" borderId="39" xfId="0" applyNumberFormat="1" applyFont="1" applyBorder="1" applyAlignment="1" applyProtection="1">
      <alignment horizontal="right" vertical="center"/>
      <protection hidden="1"/>
    </xf>
    <xf numFmtId="4" fontId="93" fillId="0" borderId="0" xfId="0" applyNumberFormat="1" applyFont="1" applyAlignment="1" applyProtection="1">
      <alignment horizontal="center" vertical="center"/>
      <protection hidden="1"/>
    </xf>
    <xf numFmtId="167" fontId="94" fillId="0" borderId="57" xfId="0" applyNumberFormat="1" applyFont="1" applyBorder="1" applyAlignment="1" applyProtection="1">
      <alignment horizontal="right" vertical="center"/>
      <protection hidden="1"/>
    </xf>
    <xf numFmtId="167" fontId="93" fillId="0" borderId="39" xfId="0" applyNumberFormat="1" applyFont="1" applyBorder="1" applyAlignment="1" applyProtection="1">
      <alignment horizontal="right" vertical="center"/>
      <protection hidden="1"/>
    </xf>
    <xf numFmtId="3" fontId="93" fillId="47" borderId="42" xfId="0" applyNumberFormat="1" applyFont="1" applyFill="1" applyBorder="1" applyAlignment="1" applyProtection="1">
      <alignment horizontal="right" vertical="center"/>
      <protection hidden="1"/>
    </xf>
    <xf numFmtId="4" fontId="93" fillId="47" borderId="32" xfId="0" applyNumberFormat="1" applyFont="1" applyFill="1" applyBorder="1" applyAlignment="1" applyProtection="1">
      <alignment horizontal="left" vertical="center"/>
      <protection hidden="1"/>
    </xf>
    <xf numFmtId="167" fontId="84" fillId="43" borderId="42" xfId="0" applyNumberFormat="1" applyFont="1" applyFill="1" applyBorder="1" applyAlignment="1" applyProtection="1">
      <alignment horizontal="right" vertical="center"/>
      <protection hidden="1"/>
    </xf>
    <xf numFmtId="0" fontId="110" fillId="0" borderId="0" xfId="0" applyFont="1" applyAlignment="1">
      <alignment wrapText="1"/>
    </xf>
    <xf numFmtId="0" fontId="111" fillId="0" borderId="0" xfId="0" applyFont="1"/>
    <xf numFmtId="0" fontId="95" fillId="0" borderId="89" xfId="0" applyFont="1" applyBorder="1" applyAlignment="1">
      <alignment horizontal="center" vertical="center"/>
    </xf>
    <xf numFmtId="0" fontId="79" fillId="0" borderId="89" xfId="0" applyFont="1" applyBorder="1" applyAlignment="1">
      <alignment horizontal="left" vertical="center" wrapText="1" indent="1"/>
    </xf>
    <xf numFmtId="4" fontId="84" fillId="43" borderId="90" xfId="0" applyNumberFormat="1" applyFont="1" applyFill="1" applyBorder="1" applyAlignment="1" applyProtection="1">
      <alignment horizontal="left" vertical="center" indent="1"/>
      <protection hidden="1"/>
    </xf>
    <xf numFmtId="167" fontId="84" fillId="0" borderId="91" xfId="0" applyNumberFormat="1" applyFont="1" applyBorder="1" applyAlignment="1" applyProtection="1">
      <alignment horizontal="right" vertical="center"/>
      <protection hidden="1"/>
    </xf>
    <xf numFmtId="4" fontId="93" fillId="47" borderId="92" xfId="0" applyNumberFormat="1" applyFont="1" applyFill="1" applyBorder="1" applyAlignment="1" applyProtection="1">
      <alignment horizontal="center" vertical="center"/>
      <protection hidden="1"/>
    </xf>
    <xf numFmtId="3" fontId="93" fillId="47" borderId="92" xfId="0" applyNumberFormat="1" applyFont="1" applyFill="1" applyBorder="1" applyAlignment="1" applyProtection="1">
      <alignment horizontal="right" vertical="center"/>
      <protection hidden="1"/>
    </xf>
    <xf numFmtId="3" fontId="93" fillId="47" borderId="93" xfId="0" applyNumberFormat="1" applyFont="1" applyFill="1" applyBorder="1" applyAlignment="1" applyProtection="1">
      <alignment horizontal="right" vertical="center"/>
      <protection hidden="1"/>
    </xf>
    <xf numFmtId="4" fontId="93" fillId="47" borderId="92" xfId="0" applyNumberFormat="1" applyFont="1" applyFill="1" applyBorder="1" applyAlignment="1" applyProtection="1">
      <alignment horizontal="left" vertical="center"/>
      <protection hidden="1"/>
    </xf>
    <xf numFmtId="4" fontId="93" fillId="50" borderId="91" xfId="0" applyNumberFormat="1" applyFont="1" applyFill="1" applyBorder="1" applyAlignment="1" applyProtection="1">
      <alignment horizontal="center" vertical="center"/>
      <protection hidden="1"/>
    </xf>
    <xf numFmtId="4" fontId="93" fillId="50" borderId="92" xfId="0" applyNumberFormat="1" applyFont="1" applyFill="1" applyBorder="1" applyAlignment="1" applyProtection="1">
      <alignment horizontal="center" vertical="center"/>
      <protection hidden="1"/>
    </xf>
    <xf numFmtId="167" fontId="84" fillId="43" borderId="93" xfId="0" applyNumberFormat="1" applyFont="1" applyFill="1" applyBorder="1" applyAlignment="1" applyProtection="1">
      <alignment horizontal="right" vertical="center"/>
      <protection hidden="1"/>
    </xf>
    <xf numFmtId="167" fontId="93" fillId="47" borderId="94" xfId="0" applyNumberFormat="1" applyFont="1" applyFill="1" applyBorder="1" applyAlignment="1" applyProtection="1">
      <alignment horizontal="right" vertical="center" indent="1"/>
      <protection hidden="1"/>
    </xf>
    <xf numFmtId="4" fontId="94" fillId="47" borderId="90" xfId="0" applyNumberFormat="1" applyFont="1" applyFill="1" applyBorder="1" applyAlignment="1" applyProtection="1">
      <alignment horizontal="left" vertical="center"/>
      <protection hidden="1"/>
    </xf>
    <xf numFmtId="167" fontId="84" fillId="0" borderId="95" xfId="0" applyNumberFormat="1" applyFont="1" applyBorder="1" applyAlignment="1" applyProtection="1">
      <alignment horizontal="right" vertical="center"/>
      <protection hidden="1"/>
    </xf>
    <xf numFmtId="4" fontId="93" fillId="47" borderId="96" xfId="0" applyNumberFormat="1" applyFont="1" applyFill="1" applyBorder="1" applyAlignment="1" applyProtection="1">
      <alignment horizontal="left" vertical="center"/>
      <protection hidden="1"/>
    </xf>
    <xf numFmtId="4" fontId="93" fillId="47" borderId="91" xfId="0" applyNumberFormat="1" applyFont="1" applyFill="1" applyBorder="1" applyAlignment="1" applyProtection="1">
      <alignment horizontal="center" vertical="center"/>
      <protection hidden="1"/>
    </xf>
    <xf numFmtId="3" fontId="93" fillId="47" borderId="96" xfId="0" applyNumberFormat="1" applyFont="1" applyFill="1" applyBorder="1" applyAlignment="1" applyProtection="1">
      <alignment horizontal="center" vertical="center"/>
      <protection hidden="1"/>
    </xf>
    <xf numFmtId="3" fontId="93" fillId="49" borderId="96" xfId="14" applyNumberFormat="1" applyFont="1" applyFill="1" applyBorder="1" applyAlignment="1" applyProtection="1">
      <alignment horizontal="right" vertical="center"/>
      <protection locked="0" hidden="1"/>
    </xf>
    <xf numFmtId="167" fontId="94" fillId="47" borderId="97" xfId="0" applyNumberFormat="1" applyFont="1" applyFill="1" applyBorder="1" applyAlignment="1" applyProtection="1">
      <alignment horizontal="right" vertical="center"/>
      <protection hidden="1"/>
    </xf>
    <xf numFmtId="167" fontId="93" fillId="47" borderId="98" xfId="0" applyNumberFormat="1" applyFont="1" applyFill="1" applyBorder="1" applyAlignment="1" applyProtection="1">
      <alignment horizontal="right" vertical="center" indent="1"/>
      <protection hidden="1"/>
    </xf>
    <xf numFmtId="4" fontId="84" fillId="43" borderId="90" xfId="0" applyNumberFormat="1" applyFont="1" applyFill="1" applyBorder="1" applyAlignment="1" applyProtection="1">
      <alignment horizontal="left" vertical="center"/>
      <protection hidden="1"/>
    </xf>
    <xf numFmtId="167" fontId="94" fillId="47" borderId="40" xfId="0" applyNumberFormat="1" applyFont="1" applyFill="1" applyBorder="1" applyAlignment="1" applyProtection="1">
      <alignment horizontal="right" vertical="center"/>
      <protection hidden="1"/>
    </xf>
    <xf numFmtId="4" fontId="93" fillId="47" borderId="96" xfId="0" applyNumberFormat="1" applyFont="1" applyFill="1" applyBorder="1" applyAlignment="1" applyProtection="1">
      <alignment horizontal="center" vertical="center"/>
      <protection hidden="1"/>
    </xf>
    <xf numFmtId="167" fontId="93" fillId="47" borderId="96" xfId="0" applyNumberFormat="1" applyFont="1" applyFill="1" applyBorder="1" applyAlignment="1" applyProtection="1">
      <alignment horizontal="right" vertical="center"/>
      <protection hidden="1"/>
    </xf>
    <xf numFmtId="4" fontId="94" fillId="0" borderId="90" xfId="0" applyNumberFormat="1" applyFont="1" applyBorder="1" applyAlignment="1" applyProtection="1">
      <alignment horizontal="left" vertical="center"/>
      <protection hidden="1"/>
    </xf>
    <xf numFmtId="167" fontId="84" fillId="43" borderId="97" xfId="0" applyNumberFormat="1" applyFont="1" applyFill="1" applyBorder="1" applyAlignment="1" applyProtection="1">
      <alignment horizontal="right" vertical="center"/>
      <protection hidden="1"/>
    </xf>
    <xf numFmtId="167" fontId="93" fillId="58" borderId="0" xfId="0" applyNumberFormat="1" applyFont="1" applyFill="1" applyAlignment="1" applyProtection="1">
      <alignment horizontal="right" vertical="center"/>
      <protection locked="0" hidden="1"/>
    </xf>
    <xf numFmtId="167" fontId="93" fillId="58" borderId="96" xfId="0" applyNumberFormat="1" applyFont="1" applyFill="1" applyBorder="1" applyAlignment="1" applyProtection="1">
      <alignment horizontal="right" vertical="center"/>
      <protection locked="0" hidden="1"/>
    </xf>
    <xf numFmtId="3" fontId="93" fillId="50" borderId="92" xfId="14" applyNumberFormat="1" applyFont="1" applyFill="1" applyBorder="1" applyAlignment="1" applyProtection="1">
      <alignment horizontal="right" vertical="center"/>
      <protection hidden="1"/>
    </xf>
    <xf numFmtId="3" fontId="93" fillId="0" borderId="92" xfId="14" applyNumberFormat="1" applyFont="1" applyFill="1" applyBorder="1" applyAlignment="1" applyProtection="1">
      <alignment horizontal="right" vertical="center"/>
      <protection hidden="1"/>
    </xf>
    <xf numFmtId="3" fontId="93" fillId="0" borderId="96" xfId="14" applyNumberFormat="1" applyFont="1" applyFill="1" applyBorder="1" applyAlignment="1" applyProtection="1">
      <alignment horizontal="right" vertical="center"/>
      <protection hidden="1"/>
    </xf>
    <xf numFmtId="3" fontId="93" fillId="50" borderId="36" xfId="14" applyNumberFormat="1" applyFont="1" applyFill="1" applyBorder="1" applyAlignment="1" applyProtection="1">
      <alignment horizontal="right" vertical="center"/>
      <protection hidden="1"/>
    </xf>
    <xf numFmtId="3" fontId="93" fillId="50" borderId="0" xfId="14" applyNumberFormat="1" applyFont="1" applyFill="1" applyBorder="1" applyAlignment="1" applyProtection="1">
      <alignment horizontal="right" vertical="center"/>
      <protection hidden="1"/>
    </xf>
    <xf numFmtId="3" fontId="93" fillId="50" borderId="96" xfId="14" applyNumberFormat="1" applyFont="1" applyFill="1" applyBorder="1" applyAlignment="1" applyProtection="1">
      <alignment horizontal="center" vertical="center"/>
      <protection hidden="1"/>
    </xf>
    <xf numFmtId="3" fontId="93" fillId="50" borderId="96" xfId="14" applyNumberFormat="1" applyFont="1" applyFill="1" applyBorder="1" applyAlignment="1" applyProtection="1">
      <alignment horizontal="right" vertical="center"/>
      <protection hidden="1"/>
    </xf>
    <xf numFmtId="3" fontId="93" fillId="0" borderId="33" xfId="14" applyNumberFormat="1" applyFont="1" applyFill="1" applyBorder="1" applyAlignment="1" applyProtection="1">
      <alignment horizontal="right" vertical="center"/>
      <protection hidden="1"/>
    </xf>
    <xf numFmtId="3" fontId="93" fillId="43" borderId="33" xfId="14" applyNumberFormat="1" applyFont="1" applyFill="1" applyBorder="1" applyAlignment="1" applyProtection="1">
      <alignment horizontal="right" vertical="center"/>
      <protection hidden="1"/>
    </xf>
    <xf numFmtId="3" fontId="93" fillId="43" borderId="0" xfId="14" applyNumberFormat="1" applyFont="1" applyFill="1" applyBorder="1" applyAlignment="1" applyProtection="1">
      <alignment horizontal="right" vertical="center"/>
      <protection hidden="1"/>
    </xf>
    <xf numFmtId="3" fontId="84" fillId="44" borderId="86" xfId="303" applyNumberFormat="1" applyFont="1" applyFill="1" applyBorder="1" applyAlignment="1" applyProtection="1">
      <alignment horizontal="center" vertical="center" wrapText="1"/>
      <protection hidden="1"/>
    </xf>
    <xf numFmtId="3" fontId="84" fillId="44" borderId="37" xfId="303" applyNumberFormat="1" applyFont="1" applyFill="1" applyBorder="1" applyAlignment="1" applyProtection="1">
      <alignment horizontal="center" vertical="center" wrapText="1"/>
      <protection hidden="1"/>
    </xf>
    <xf numFmtId="3" fontId="84" fillId="44" borderId="38" xfId="303" applyNumberFormat="1" applyFont="1" applyFill="1" applyBorder="1" applyAlignment="1" applyProtection="1">
      <alignment horizontal="center" vertical="center" wrapText="1"/>
      <protection hidden="1"/>
    </xf>
    <xf numFmtId="4" fontId="84" fillId="43" borderId="101" xfId="303" applyNumberFormat="1" applyFont="1" applyFill="1" applyBorder="1" applyAlignment="1" applyProtection="1">
      <alignment horizontal="left" vertical="center"/>
      <protection hidden="1"/>
    </xf>
    <xf numFmtId="167" fontId="84" fillId="43" borderId="102" xfId="303" applyNumberFormat="1" applyFont="1" applyFill="1" applyBorder="1" applyAlignment="1" applyProtection="1">
      <alignment horizontal="right" vertical="center"/>
      <protection hidden="1"/>
    </xf>
    <xf numFmtId="4" fontId="83" fillId="43" borderId="103" xfId="303" applyNumberFormat="1" applyFont="1" applyFill="1" applyBorder="1" applyAlignment="1" applyProtection="1">
      <alignment horizontal="center" vertical="center"/>
      <protection hidden="1"/>
    </xf>
    <xf numFmtId="3" fontId="83" fillId="43" borderId="103" xfId="303" applyNumberFormat="1" applyFont="1" applyFill="1" applyBorder="1" applyAlignment="1" applyProtection="1">
      <alignment horizontal="right" vertical="center"/>
      <protection hidden="1"/>
    </xf>
    <xf numFmtId="3" fontId="83" fillId="43" borderId="104" xfId="303" applyNumberFormat="1" applyFont="1" applyFill="1" applyBorder="1" applyAlignment="1" applyProtection="1">
      <alignment horizontal="right" vertical="center"/>
      <protection hidden="1"/>
    </xf>
    <xf numFmtId="4" fontId="83" fillId="43" borderId="103" xfId="303" applyNumberFormat="1" applyFont="1" applyFill="1" applyBorder="1" applyAlignment="1" applyProtection="1">
      <alignment horizontal="left" vertical="center"/>
      <protection hidden="1"/>
    </xf>
    <xf numFmtId="4" fontId="83" fillId="43" borderId="102" xfId="303" applyNumberFormat="1" applyFont="1" applyFill="1" applyBorder="1" applyAlignment="1" applyProtection="1">
      <alignment horizontal="center" vertical="center"/>
      <protection hidden="1"/>
    </xf>
    <xf numFmtId="3" fontId="83" fillId="43" borderId="103" xfId="303" applyNumberFormat="1" applyFont="1" applyFill="1" applyBorder="1" applyAlignment="1" applyProtection="1">
      <alignment vertical="center"/>
      <protection hidden="1"/>
    </xf>
    <xf numFmtId="3" fontId="83" fillId="43" borderId="103" xfId="303" applyNumberFormat="1" applyFont="1" applyFill="1" applyBorder="1" applyAlignment="1" applyProtection="1">
      <alignment horizontal="center" vertical="center"/>
      <protection hidden="1"/>
    </xf>
    <xf numFmtId="167" fontId="84" fillId="0" borderId="104" xfId="303" applyNumberFormat="1" applyFont="1" applyBorder="1" applyAlignment="1" applyProtection="1">
      <alignment horizontal="right" vertical="center"/>
      <protection hidden="1"/>
    </xf>
    <xf numFmtId="167" fontId="84" fillId="43" borderId="105" xfId="303" applyNumberFormat="1" applyFont="1" applyFill="1" applyBorder="1" applyAlignment="1" applyProtection="1">
      <alignment horizontal="right" vertical="center" indent="1"/>
      <protection hidden="1"/>
    </xf>
    <xf numFmtId="4" fontId="20" fillId="43" borderId="0" xfId="303" applyNumberFormat="1" applyFont="1" applyFill="1" applyAlignment="1" applyProtection="1">
      <alignment horizontal="center" vertical="center"/>
      <protection hidden="1"/>
    </xf>
    <xf numFmtId="3" fontId="83" fillId="0" borderId="0" xfId="303" applyNumberFormat="1" applyFont="1" applyAlignment="1" applyProtection="1">
      <alignment horizontal="left" vertical="center"/>
      <protection hidden="1"/>
    </xf>
    <xf numFmtId="3" fontId="83" fillId="0" borderId="40" xfId="303" applyNumberFormat="1" applyFont="1" applyBorder="1" applyAlignment="1" applyProtection="1">
      <alignment horizontal="left" vertical="center"/>
      <protection hidden="1"/>
    </xf>
    <xf numFmtId="167" fontId="84" fillId="43" borderId="104" xfId="303" applyNumberFormat="1" applyFont="1" applyFill="1" applyBorder="1" applyAlignment="1" applyProtection="1">
      <alignment horizontal="right" vertical="center"/>
      <protection hidden="1"/>
    </xf>
    <xf numFmtId="188" fontId="83" fillId="43" borderId="103" xfId="303" applyNumberFormat="1" applyFont="1" applyFill="1" applyBorder="1" applyAlignment="1" applyProtection="1">
      <alignment horizontal="right" vertical="center"/>
      <protection hidden="1"/>
    </xf>
    <xf numFmtId="167" fontId="84" fillId="45" borderId="106" xfId="303" applyNumberFormat="1" applyFont="1" applyFill="1" applyBorder="1" applyAlignment="1" applyProtection="1">
      <alignment horizontal="right" vertical="center"/>
      <protection hidden="1"/>
    </xf>
    <xf numFmtId="4" fontId="83" fillId="45" borderId="107" xfId="303" applyNumberFormat="1" applyFont="1" applyFill="1" applyBorder="1" applyAlignment="1" applyProtection="1">
      <alignment horizontal="center" vertical="center"/>
      <protection hidden="1"/>
    </xf>
    <xf numFmtId="194" fontId="83" fillId="45" borderId="107" xfId="303" applyNumberFormat="1" applyFont="1" applyFill="1" applyBorder="1" applyAlignment="1" applyProtection="1">
      <alignment horizontal="right" vertical="center"/>
      <protection hidden="1"/>
    </xf>
    <xf numFmtId="3" fontId="83" fillId="45" borderId="108" xfId="303" applyNumberFormat="1" applyFont="1" applyFill="1" applyBorder="1" applyAlignment="1" applyProtection="1">
      <alignment horizontal="right" vertical="center"/>
      <protection hidden="1"/>
    </xf>
    <xf numFmtId="4" fontId="83" fillId="45" borderId="107" xfId="303" applyNumberFormat="1" applyFont="1" applyFill="1" applyBorder="1" applyAlignment="1" applyProtection="1">
      <alignment horizontal="left" vertical="center"/>
      <protection hidden="1"/>
    </xf>
    <xf numFmtId="4" fontId="83" fillId="45" borderId="106" xfId="303" applyNumberFormat="1" applyFont="1" applyFill="1" applyBorder="1" applyAlignment="1" applyProtection="1">
      <alignment horizontal="center" vertical="center"/>
      <protection hidden="1"/>
    </xf>
    <xf numFmtId="3" fontId="83" fillId="45" borderId="107" xfId="303" applyNumberFormat="1" applyFont="1" applyFill="1" applyBorder="1" applyAlignment="1" applyProtection="1">
      <alignment vertical="center"/>
      <protection hidden="1"/>
    </xf>
    <xf numFmtId="3" fontId="83" fillId="45" borderId="107" xfId="303" applyNumberFormat="1" applyFont="1" applyFill="1" applyBorder="1" applyAlignment="1" applyProtection="1">
      <alignment horizontal="center" vertical="center"/>
      <protection hidden="1"/>
    </xf>
    <xf numFmtId="3" fontId="83" fillId="45" borderId="107" xfId="303" applyNumberFormat="1" applyFont="1" applyFill="1" applyBorder="1" applyAlignment="1" applyProtection="1">
      <alignment horizontal="right" vertical="center"/>
      <protection hidden="1"/>
    </xf>
    <xf numFmtId="167" fontId="84" fillId="45" borderId="108" xfId="303" applyNumberFormat="1" applyFont="1" applyFill="1" applyBorder="1" applyAlignment="1" applyProtection="1">
      <alignment horizontal="right" vertical="center"/>
      <protection hidden="1"/>
    </xf>
    <xf numFmtId="190" fontId="83" fillId="45" borderId="107" xfId="303" applyNumberFormat="1" applyFont="1" applyFill="1" applyBorder="1" applyAlignment="1" applyProtection="1">
      <alignment horizontal="right" vertical="center"/>
      <protection hidden="1"/>
    </xf>
    <xf numFmtId="167" fontId="84" fillId="0" borderId="102" xfId="303" applyNumberFormat="1" applyFont="1" applyBorder="1" applyAlignment="1" applyProtection="1">
      <alignment horizontal="right" vertical="center"/>
      <protection hidden="1"/>
    </xf>
    <xf numFmtId="4" fontId="84" fillId="43" borderId="103" xfId="303" applyNumberFormat="1" applyFont="1" applyFill="1" applyBorder="1" applyAlignment="1" applyProtection="1">
      <alignment horizontal="center" vertical="center"/>
      <protection hidden="1"/>
    </xf>
    <xf numFmtId="3" fontId="84" fillId="43" borderId="103" xfId="303" applyNumberFormat="1" applyFont="1" applyFill="1" applyBorder="1" applyAlignment="1" applyProtection="1">
      <alignment horizontal="right" vertical="center"/>
      <protection hidden="1"/>
    </xf>
    <xf numFmtId="3" fontId="84" fillId="43" borderId="104" xfId="303" applyNumberFormat="1" applyFont="1" applyFill="1" applyBorder="1" applyAlignment="1" applyProtection="1">
      <alignment horizontal="right" vertical="center"/>
      <protection hidden="1"/>
    </xf>
    <xf numFmtId="4" fontId="84" fillId="43" borderId="103" xfId="303" applyNumberFormat="1" applyFont="1" applyFill="1" applyBorder="1" applyAlignment="1" applyProtection="1">
      <alignment horizontal="left" vertical="center"/>
      <protection hidden="1"/>
    </xf>
    <xf numFmtId="4" fontId="84" fillId="43" borderId="102" xfId="303" applyNumberFormat="1" applyFont="1" applyFill="1" applyBorder="1" applyAlignment="1" applyProtection="1">
      <alignment horizontal="center" vertical="center"/>
      <protection hidden="1"/>
    </xf>
    <xf numFmtId="3" fontId="84" fillId="43" borderId="103" xfId="303" applyNumberFormat="1" applyFont="1" applyFill="1" applyBorder="1" applyAlignment="1" applyProtection="1">
      <alignment vertical="center"/>
      <protection hidden="1"/>
    </xf>
    <xf numFmtId="3" fontId="84" fillId="43" borderId="103" xfId="303" applyNumberFormat="1" applyFont="1" applyFill="1" applyBorder="1" applyAlignment="1" applyProtection="1">
      <alignment horizontal="center" vertical="center"/>
      <protection hidden="1"/>
    </xf>
    <xf numFmtId="4" fontId="84" fillId="43" borderId="16" xfId="303" applyNumberFormat="1" applyFont="1" applyFill="1" applyBorder="1" applyAlignment="1" applyProtection="1">
      <alignment horizontal="left" vertical="center"/>
      <protection hidden="1"/>
    </xf>
    <xf numFmtId="167" fontId="87" fillId="43" borderId="41" xfId="303" applyNumberFormat="1" applyFont="1" applyFill="1" applyBorder="1" applyAlignment="1" applyProtection="1">
      <alignment horizontal="right" vertical="center"/>
      <protection hidden="1"/>
    </xf>
    <xf numFmtId="4" fontId="84" fillId="43" borderId="4" xfId="303" applyNumberFormat="1" applyFont="1" applyFill="1" applyBorder="1" applyAlignment="1" applyProtection="1">
      <alignment horizontal="center" vertical="center"/>
      <protection hidden="1"/>
    </xf>
    <xf numFmtId="3" fontId="84" fillId="43" borderId="4" xfId="303" applyNumberFormat="1" applyFont="1" applyFill="1" applyBorder="1" applyAlignment="1" applyProtection="1">
      <alignment horizontal="right" vertical="center"/>
      <protection hidden="1"/>
    </xf>
    <xf numFmtId="3" fontId="84" fillId="43" borderId="42" xfId="303" applyNumberFormat="1" applyFont="1" applyFill="1" applyBorder="1" applyAlignment="1" applyProtection="1">
      <alignment horizontal="right" vertical="center"/>
      <protection hidden="1"/>
    </xf>
    <xf numFmtId="4" fontId="84" fillId="43" borderId="4" xfId="303" applyNumberFormat="1" applyFont="1" applyFill="1" applyBorder="1" applyAlignment="1" applyProtection="1">
      <alignment horizontal="left" vertical="center"/>
      <protection hidden="1"/>
    </xf>
    <xf numFmtId="4" fontId="84" fillId="43" borderId="41" xfId="303" applyNumberFormat="1" applyFont="1" applyFill="1" applyBorder="1" applyAlignment="1" applyProtection="1">
      <alignment horizontal="center" vertical="center"/>
      <protection hidden="1"/>
    </xf>
    <xf numFmtId="3" fontId="84" fillId="43" borderId="4" xfId="303" applyNumberFormat="1" applyFont="1" applyFill="1" applyBorder="1" applyAlignment="1" applyProtection="1">
      <alignment vertical="center"/>
      <protection hidden="1"/>
    </xf>
    <xf numFmtId="3" fontId="84" fillId="43" borderId="4" xfId="303" applyNumberFormat="1" applyFont="1" applyFill="1" applyBorder="1" applyAlignment="1" applyProtection="1">
      <alignment horizontal="center" vertical="center"/>
      <protection hidden="1"/>
    </xf>
    <xf numFmtId="167" fontId="84" fillId="43" borderId="42" xfId="303" applyNumberFormat="1" applyFont="1" applyFill="1" applyBorder="1" applyAlignment="1" applyProtection="1">
      <alignment horizontal="right" vertical="center"/>
      <protection hidden="1"/>
    </xf>
    <xf numFmtId="167" fontId="84" fillId="43" borderId="6" xfId="303" applyNumberFormat="1" applyFont="1" applyFill="1" applyBorder="1" applyAlignment="1" applyProtection="1">
      <alignment horizontal="right" vertical="center" indent="1"/>
      <protection hidden="1"/>
    </xf>
    <xf numFmtId="4" fontId="83" fillId="43" borderId="15" xfId="303" applyNumberFormat="1" applyFont="1" applyFill="1" applyBorder="1" applyAlignment="1" applyProtection="1">
      <alignment horizontal="left" vertical="center"/>
      <protection hidden="1"/>
    </xf>
    <xf numFmtId="167" fontId="84" fillId="43" borderId="37" xfId="303" applyNumberFormat="1" applyFont="1" applyFill="1" applyBorder="1" applyAlignment="1" applyProtection="1">
      <alignment horizontal="right" vertical="center"/>
      <protection hidden="1"/>
    </xf>
    <xf numFmtId="4" fontId="84" fillId="43" borderId="86" xfId="303" applyNumberFormat="1" applyFont="1" applyFill="1" applyBorder="1" applyAlignment="1" applyProtection="1">
      <alignment horizontal="center" vertical="center"/>
      <protection hidden="1"/>
    </xf>
    <xf numFmtId="3" fontId="84" fillId="43" borderId="86" xfId="303" applyNumberFormat="1" applyFont="1" applyFill="1" applyBorder="1" applyAlignment="1" applyProtection="1">
      <alignment horizontal="right" vertical="center"/>
      <protection hidden="1"/>
    </xf>
    <xf numFmtId="4" fontId="84" fillId="43" borderId="86" xfId="303" applyNumberFormat="1" applyFont="1" applyFill="1" applyBorder="1" applyAlignment="1" applyProtection="1">
      <alignment horizontal="left" vertical="center"/>
      <protection hidden="1"/>
    </xf>
    <xf numFmtId="3" fontId="84" fillId="43" borderId="86" xfId="303" applyNumberFormat="1" applyFont="1" applyFill="1" applyBorder="1" applyAlignment="1" applyProtection="1">
      <alignment vertical="center"/>
      <protection hidden="1"/>
    </xf>
    <xf numFmtId="3" fontId="84" fillId="43" borderId="86" xfId="303" applyNumberFormat="1" applyFont="1" applyFill="1" applyBorder="1" applyAlignment="1" applyProtection="1">
      <alignment horizontal="center" vertical="center"/>
      <protection hidden="1"/>
    </xf>
    <xf numFmtId="167" fontId="87" fillId="0" borderId="38" xfId="303" applyNumberFormat="1" applyFont="1" applyBorder="1" applyAlignment="1" applyProtection="1">
      <alignment horizontal="right" vertical="center"/>
      <protection hidden="1"/>
    </xf>
    <xf numFmtId="167" fontId="84" fillId="43" borderId="109" xfId="303" applyNumberFormat="1" applyFont="1" applyFill="1" applyBorder="1" applyAlignment="1" applyProtection="1">
      <alignment horizontal="right" vertical="center" indent="1"/>
      <protection hidden="1"/>
    </xf>
    <xf numFmtId="167" fontId="87" fillId="0" borderId="41" xfId="303" applyNumberFormat="1" applyFont="1" applyBorder="1" applyAlignment="1" applyProtection="1">
      <alignment horizontal="right" vertical="center"/>
      <protection hidden="1"/>
    </xf>
    <xf numFmtId="3" fontId="83" fillId="43" borderId="0" xfId="303" applyNumberFormat="1" applyFont="1" applyFill="1" applyAlignment="1" applyProtection="1">
      <alignment horizontal="left" vertical="center"/>
      <protection hidden="1"/>
    </xf>
    <xf numFmtId="4" fontId="20" fillId="43" borderId="0" xfId="303" applyNumberFormat="1" applyFont="1" applyFill="1" applyAlignment="1" applyProtection="1">
      <alignment horizontal="right" vertical="center" indent="1"/>
      <protection hidden="1"/>
    </xf>
    <xf numFmtId="4" fontId="83" fillId="43" borderId="0" xfId="303" applyNumberFormat="1" applyFont="1" applyFill="1" applyAlignment="1" applyProtection="1">
      <alignment horizontal="right" vertical="center" indent="1"/>
      <protection hidden="1"/>
    </xf>
    <xf numFmtId="3" fontId="83" fillId="43" borderId="40" xfId="303" applyNumberFormat="1" applyFont="1" applyFill="1" applyBorder="1" applyAlignment="1" applyProtection="1">
      <alignment horizontal="left" vertical="center"/>
      <protection hidden="1"/>
    </xf>
    <xf numFmtId="3" fontId="83" fillId="43" borderId="0" xfId="303" applyNumberFormat="1" applyFont="1" applyFill="1" applyAlignment="1" applyProtection="1">
      <alignment horizontal="right" vertical="center" indent="1"/>
      <protection hidden="1"/>
    </xf>
    <xf numFmtId="0" fontId="90" fillId="0" borderId="62" xfId="0" applyFont="1" applyBorder="1" applyAlignment="1">
      <alignment horizontal="center" vertical="center"/>
    </xf>
    <xf numFmtId="0" fontId="90" fillId="0" borderId="41" xfId="0" applyFont="1" applyBorder="1" applyAlignment="1">
      <alignment horizontal="center" vertical="center"/>
    </xf>
    <xf numFmtId="0" fontId="90" fillId="0" borderId="39" xfId="0" applyFont="1" applyBorder="1" applyAlignment="1">
      <alignment horizontal="center" vertical="center"/>
    </xf>
    <xf numFmtId="0" fontId="104" fillId="0" borderId="0" xfId="0" applyFont="1" applyAlignment="1">
      <alignment horizontal="left" vertical="center" wrapText="1"/>
    </xf>
    <xf numFmtId="0" fontId="101" fillId="57" borderId="63" xfId="9" applyFont="1" applyFill="1" applyBorder="1"/>
    <xf numFmtId="0" fontId="101" fillId="57" borderId="64" xfId="9" applyFont="1" applyFill="1" applyBorder="1"/>
    <xf numFmtId="0" fontId="103" fillId="0" borderId="0" xfId="0" applyFont="1" applyAlignment="1">
      <alignment horizontal="center" vertical="center" wrapText="1"/>
    </xf>
    <xf numFmtId="0" fontId="102" fillId="0" borderId="0" xfId="0" applyFont="1" applyAlignment="1">
      <alignment horizontal="left"/>
    </xf>
    <xf numFmtId="0" fontId="101" fillId="56" borderId="4" xfId="9" applyFont="1" applyFill="1" applyBorder="1"/>
    <xf numFmtId="0" fontId="101" fillId="56" borderId="42" xfId="9" applyFont="1" applyFill="1" applyBorder="1"/>
    <xf numFmtId="0" fontId="101" fillId="55" borderId="0" xfId="9" applyFont="1" applyFill="1"/>
    <xf numFmtId="0" fontId="101" fillId="55" borderId="40" xfId="9" applyFont="1" applyFill="1" applyBorder="1"/>
    <xf numFmtId="0" fontId="101" fillId="54" borderId="4" xfId="9" applyFont="1" applyFill="1" applyBorder="1"/>
    <xf numFmtId="0" fontId="101" fillId="54" borderId="42" xfId="9" applyFont="1" applyFill="1" applyBorder="1"/>
    <xf numFmtId="0" fontId="101" fillId="53" borderId="4" xfId="9" applyFont="1" applyFill="1" applyBorder="1"/>
    <xf numFmtId="0" fontId="101" fillId="53" borderId="42" xfId="9" applyFont="1" applyFill="1" applyBorder="1"/>
    <xf numFmtId="0" fontId="101" fillId="57" borderId="4" xfId="9" applyFont="1" applyFill="1" applyBorder="1"/>
    <xf numFmtId="0" fontId="101" fillId="57" borderId="42" xfId="9" applyFont="1" applyFill="1" applyBorder="1"/>
    <xf numFmtId="0" fontId="101" fillId="56" borderId="63" xfId="9" applyFont="1" applyFill="1" applyBorder="1"/>
    <xf numFmtId="0" fontId="101" fillId="56" borderId="64" xfId="9" applyFont="1" applyFill="1" applyBorder="1"/>
    <xf numFmtId="0" fontId="101" fillId="55" borderId="4" xfId="9" applyFont="1" applyFill="1" applyBorder="1"/>
    <xf numFmtId="0" fontId="101" fillId="55" borderId="42" xfId="9" applyFont="1" applyFill="1" applyBorder="1"/>
    <xf numFmtId="0" fontId="101" fillId="55" borderId="63" xfId="9" applyFont="1" applyFill="1" applyBorder="1"/>
    <xf numFmtId="0" fontId="101" fillId="55" borderId="64" xfId="9" applyFont="1" applyFill="1" applyBorder="1"/>
    <xf numFmtId="0" fontId="101" fillId="54" borderId="63" xfId="9" applyFont="1" applyFill="1" applyBorder="1"/>
    <xf numFmtId="0" fontId="101" fillId="54" borderId="64" xfId="9" applyFont="1" applyFill="1" applyBorder="1"/>
    <xf numFmtId="0" fontId="101" fillId="53" borderId="63" xfId="9" applyFont="1" applyFill="1" applyBorder="1"/>
    <xf numFmtId="0" fontId="101" fillId="53" borderId="64" xfId="9" applyFont="1" applyFill="1" applyBorder="1"/>
    <xf numFmtId="0" fontId="98" fillId="43" borderId="0" xfId="0" applyFont="1" applyFill="1" applyAlignment="1">
      <alignment horizontal="center" vertical="center"/>
    </xf>
    <xf numFmtId="0" fontId="21" fillId="44" borderId="13" xfId="0" applyFont="1" applyFill="1" applyBorder="1" applyAlignment="1" applyProtection="1">
      <alignment horizontal="center" vertical="center"/>
      <protection hidden="1"/>
    </xf>
    <xf numFmtId="0" fontId="21" fillId="44" borderId="14" xfId="0" applyFont="1" applyFill="1" applyBorder="1" applyAlignment="1" applyProtection="1">
      <alignment horizontal="center" vertical="center"/>
      <protection hidden="1"/>
    </xf>
    <xf numFmtId="0" fontId="19" fillId="44" borderId="8" xfId="0" applyFont="1" applyFill="1" applyBorder="1" applyAlignment="1" applyProtection="1">
      <alignment horizontal="center" vertical="center"/>
      <protection hidden="1"/>
    </xf>
    <xf numFmtId="0" fontId="19" fillId="44" borderId="9" xfId="0" applyFont="1" applyFill="1" applyBorder="1" applyAlignment="1" applyProtection="1">
      <alignment horizontal="center" vertical="center"/>
      <protection hidden="1"/>
    </xf>
    <xf numFmtId="0" fontId="19" fillId="44" borderId="10" xfId="0" applyFont="1" applyFill="1" applyBorder="1" applyAlignment="1" applyProtection="1">
      <alignment horizontal="center" vertical="center"/>
      <protection hidden="1"/>
    </xf>
    <xf numFmtId="0" fontId="19" fillId="44" borderId="13" xfId="0" applyFont="1" applyFill="1" applyBorder="1" applyAlignment="1" applyProtection="1">
      <alignment horizontal="center" vertical="center" wrapText="1"/>
      <protection hidden="1"/>
    </xf>
    <xf numFmtId="0" fontId="19" fillId="44" borderId="14" xfId="0" applyFont="1" applyFill="1" applyBorder="1" applyAlignment="1" applyProtection="1">
      <alignment horizontal="center" vertical="center" wrapText="1"/>
      <protection hidden="1"/>
    </xf>
    <xf numFmtId="0" fontId="21" fillId="44" borderId="9" xfId="0" applyFont="1" applyFill="1" applyBorder="1" applyAlignment="1" applyProtection="1">
      <alignment horizontal="center" vertical="center"/>
      <protection hidden="1"/>
    </xf>
    <xf numFmtId="0" fontId="21" fillId="44" borderId="10" xfId="0" applyFont="1" applyFill="1" applyBorder="1" applyAlignment="1" applyProtection="1">
      <alignment horizontal="center" vertical="center"/>
      <protection hidden="1"/>
    </xf>
    <xf numFmtId="167" fontId="99" fillId="43" borderId="0" xfId="0" applyNumberFormat="1" applyFont="1" applyFill="1" applyAlignment="1" applyProtection="1">
      <alignment horizontal="center" vertical="center"/>
      <protection hidden="1"/>
    </xf>
    <xf numFmtId="4" fontId="84" fillId="44" borderId="46" xfId="0" applyNumberFormat="1" applyFont="1" applyFill="1" applyBorder="1" applyAlignment="1" applyProtection="1">
      <alignment horizontal="center" vertical="center"/>
      <protection hidden="1"/>
    </xf>
    <xf numFmtId="4" fontId="84" fillId="44" borderId="44" xfId="0" applyNumberFormat="1" applyFont="1" applyFill="1" applyBorder="1" applyAlignment="1" applyProtection="1">
      <alignment horizontal="center" vertical="center"/>
      <protection hidden="1"/>
    </xf>
    <xf numFmtId="3" fontId="84" fillId="44" borderId="35" xfId="0" applyNumberFormat="1" applyFont="1" applyFill="1" applyBorder="1" applyAlignment="1" applyProtection="1">
      <alignment horizontal="center" vertical="center" wrapText="1"/>
      <protection hidden="1"/>
    </xf>
    <xf numFmtId="3" fontId="84" fillId="44" borderId="33" xfId="0" applyNumberFormat="1" applyFont="1" applyFill="1" applyBorder="1" applyAlignment="1" applyProtection="1">
      <alignment horizontal="center" vertical="center" wrapText="1"/>
      <protection hidden="1"/>
    </xf>
    <xf numFmtId="3" fontId="84" fillId="44" borderId="34" xfId="0" applyNumberFormat="1" applyFont="1" applyFill="1" applyBorder="1" applyAlignment="1" applyProtection="1">
      <alignment horizontal="center" vertical="center" wrapText="1"/>
      <protection hidden="1"/>
    </xf>
    <xf numFmtId="3" fontId="84" fillId="44" borderId="53" xfId="0" applyNumberFormat="1" applyFont="1" applyFill="1" applyBorder="1" applyAlignment="1" applyProtection="1">
      <alignment horizontal="center" vertical="center" wrapText="1"/>
      <protection hidden="1"/>
    </xf>
    <xf numFmtId="3" fontId="84" fillId="44" borderId="52" xfId="0" applyNumberFormat="1" applyFont="1" applyFill="1" applyBorder="1" applyAlignment="1" applyProtection="1">
      <alignment horizontal="center" vertical="center" wrapText="1"/>
      <protection hidden="1"/>
    </xf>
    <xf numFmtId="3" fontId="84" fillId="44" borderId="48" xfId="0" applyNumberFormat="1" applyFont="1" applyFill="1" applyBorder="1" applyAlignment="1" applyProtection="1">
      <alignment horizontal="center" vertical="center" wrapText="1"/>
      <protection hidden="1"/>
    </xf>
    <xf numFmtId="3" fontId="84" fillId="44" borderId="54" xfId="0" applyNumberFormat="1" applyFont="1" applyFill="1" applyBorder="1" applyAlignment="1" applyProtection="1">
      <alignment horizontal="center" vertical="center" wrapText="1"/>
      <protection hidden="1"/>
    </xf>
    <xf numFmtId="0" fontId="79" fillId="0" borderId="0" xfId="0" applyFont="1" applyAlignment="1">
      <alignment horizontal="left" vertical="top" wrapText="1"/>
    </xf>
    <xf numFmtId="4" fontId="84" fillId="44" borderId="46" xfId="303" applyNumberFormat="1" applyFont="1" applyFill="1" applyBorder="1" applyAlignment="1" applyProtection="1">
      <alignment horizontal="center" vertical="center"/>
      <protection hidden="1"/>
    </xf>
    <xf numFmtId="4" fontId="84" fillId="44" borderId="44" xfId="303" applyNumberFormat="1" applyFont="1" applyFill="1" applyBorder="1" applyAlignment="1" applyProtection="1">
      <alignment horizontal="center" vertical="center"/>
      <protection hidden="1"/>
    </xf>
    <xf numFmtId="3" fontId="84" fillId="44" borderId="35" xfId="303" applyNumberFormat="1" applyFont="1" applyFill="1" applyBorder="1" applyAlignment="1" applyProtection="1">
      <alignment horizontal="center" vertical="center" wrapText="1"/>
      <protection hidden="1"/>
    </xf>
    <xf numFmtId="3" fontId="84" fillId="44" borderId="33" xfId="303" applyNumberFormat="1" applyFont="1" applyFill="1" applyBorder="1" applyAlignment="1" applyProtection="1">
      <alignment horizontal="center" vertical="center" wrapText="1"/>
      <protection hidden="1"/>
    </xf>
    <xf numFmtId="3" fontId="84" fillId="44" borderId="34" xfId="303" applyNumberFormat="1" applyFont="1" applyFill="1" applyBorder="1" applyAlignment="1" applyProtection="1">
      <alignment horizontal="center" vertical="center" wrapText="1"/>
      <protection hidden="1"/>
    </xf>
    <xf numFmtId="3" fontId="84" fillId="44" borderId="88" xfId="303" applyNumberFormat="1" applyFont="1" applyFill="1" applyBorder="1" applyAlignment="1" applyProtection="1">
      <alignment horizontal="center" vertical="center" wrapText="1"/>
      <protection hidden="1"/>
    </xf>
    <xf numFmtId="3" fontId="84" fillId="44" borderId="87" xfId="303" applyNumberFormat="1" applyFont="1" applyFill="1" applyBorder="1" applyAlignment="1" applyProtection="1">
      <alignment horizontal="center" vertical="center" wrapText="1"/>
      <protection hidden="1"/>
    </xf>
    <xf numFmtId="3" fontId="84" fillId="44" borderId="99" xfId="303" applyNumberFormat="1" applyFont="1" applyFill="1" applyBorder="1" applyAlignment="1" applyProtection="1">
      <alignment horizontal="center" vertical="center" wrapText="1"/>
      <protection hidden="1"/>
    </xf>
    <xf numFmtId="3" fontId="84" fillId="44" borderId="100" xfId="303" applyNumberFormat="1" applyFont="1" applyFill="1" applyBorder="1" applyAlignment="1" applyProtection="1">
      <alignment horizontal="center" vertical="center" wrapText="1"/>
      <protection hidden="1"/>
    </xf>
    <xf numFmtId="167" fontId="85" fillId="43" borderId="0" xfId="303" applyNumberFormat="1" applyFont="1" applyFill="1" applyAlignment="1" applyProtection="1">
      <alignment horizontal="center" vertical="center"/>
      <protection hidden="1"/>
    </xf>
    <xf numFmtId="167" fontId="100" fillId="47" borderId="0" xfId="0" applyNumberFormat="1" applyFont="1" applyFill="1" applyAlignment="1" applyProtection="1">
      <alignment horizontal="center" vertical="center"/>
      <protection hidden="1"/>
    </xf>
    <xf numFmtId="4" fontId="94" fillId="48" borderId="46" xfId="0" applyNumberFormat="1" applyFont="1" applyFill="1" applyBorder="1" applyAlignment="1" applyProtection="1">
      <alignment horizontal="center" vertical="center"/>
      <protection hidden="1"/>
    </xf>
    <xf numFmtId="4" fontId="94" fillId="48" borderId="44" xfId="0" applyNumberFormat="1" applyFont="1" applyFill="1" applyBorder="1" applyAlignment="1" applyProtection="1">
      <alignment horizontal="center" vertical="center"/>
      <protection hidden="1"/>
    </xf>
    <xf numFmtId="3" fontId="94" fillId="48" borderId="35" xfId="0" applyNumberFormat="1" applyFont="1" applyFill="1" applyBorder="1" applyAlignment="1" applyProtection="1">
      <alignment horizontal="center" vertical="center" wrapText="1"/>
      <protection hidden="1"/>
    </xf>
    <xf numFmtId="3" fontId="94" fillId="48" borderId="33" xfId="0" applyNumberFormat="1" applyFont="1" applyFill="1" applyBorder="1" applyAlignment="1" applyProtection="1">
      <alignment horizontal="center" vertical="center" wrapText="1"/>
      <protection hidden="1"/>
    </xf>
    <xf numFmtId="3" fontId="94" fillId="48" borderId="34" xfId="0" applyNumberFormat="1" applyFont="1" applyFill="1" applyBorder="1" applyAlignment="1" applyProtection="1">
      <alignment horizontal="center" vertical="center" wrapText="1"/>
      <protection hidden="1"/>
    </xf>
    <xf numFmtId="3" fontId="94" fillId="48" borderId="53" xfId="0" applyNumberFormat="1" applyFont="1" applyFill="1" applyBorder="1" applyAlignment="1" applyProtection="1">
      <alignment horizontal="center" vertical="center" wrapText="1"/>
      <protection hidden="1"/>
    </xf>
    <xf numFmtId="3" fontId="94" fillId="48" borderId="52" xfId="0" applyNumberFormat="1" applyFont="1" applyFill="1" applyBorder="1" applyAlignment="1" applyProtection="1">
      <alignment horizontal="center" vertical="center" wrapText="1"/>
      <protection hidden="1"/>
    </xf>
  </cellXfs>
  <cellStyles count="317">
    <cellStyle name="0_mezer" xfId="125" xr:uid="{526DE7DA-79B0-4CD8-ADD6-990D3AB8DC13}"/>
    <cellStyle name="0_mezer_Tabulky_FV" xfId="126" xr:uid="{4821F006-3945-443D-8559-6C6C99C03E20}"/>
    <cellStyle name="0_mezer_Tabulky_FV_web" xfId="127" xr:uid="{A43D7D7D-8605-4817-A9C0-EF74169CC11A}"/>
    <cellStyle name="1_mezera" xfId="128" xr:uid="{6E8F5E28-0C72-4010-9E4F-5777213F7F5D}"/>
    <cellStyle name="2_mezery" xfId="129" xr:uid="{CE766BD1-A1F6-4C80-B4BA-B4586CF71E44}"/>
    <cellStyle name="2_mezeryT" xfId="130" xr:uid="{A217BFB7-86B8-448D-8DA2-BC494402FA4B}"/>
    <cellStyle name="20 % – Zvýraznění1" xfId="131" xr:uid="{BFEA5602-E154-4128-879A-79F13E3CC21A}"/>
    <cellStyle name="20 % – Zvýraznění2" xfId="132" xr:uid="{A02D8070-D062-4547-8AE5-360885A1A379}"/>
    <cellStyle name="20 % – Zvýraznění3" xfId="133" xr:uid="{9E93BBAD-5D48-4240-A282-63F88D510C73}"/>
    <cellStyle name="20 % – Zvýraznění4" xfId="134" xr:uid="{49122AC2-E561-47E2-8E99-5A3DBF04308D}"/>
    <cellStyle name="20 % – Zvýraznění5" xfId="135" xr:uid="{426DFE85-F77E-488D-96BE-5C618E63861A}"/>
    <cellStyle name="20 % – Zvýraznění6" xfId="136" xr:uid="{1C3EB898-78F9-45C3-9F82-30E99E5CDFD0}"/>
    <cellStyle name="20% - Accent1" xfId="137" xr:uid="{D72BC9F8-1CC5-4379-915B-C25E8A90747B}"/>
    <cellStyle name="20% - Accent2" xfId="138" xr:uid="{FFE17989-7174-49DD-80E9-D71D32BD73C9}"/>
    <cellStyle name="20% - Accent3" xfId="139" xr:uid="{2D83DCEE-6E54-4D97-A789-FAD43411AE0D}"/>
    <cellStyle name="20% - Accent4" xfId="140" xr:uid="{1DEC240F-DD47-46F8-BD39-D3FA2A01B1B0}"/>
    <cellStyle name="20% - Accent5" xfId="141" xr:uid="{3F1F6F40-732B-4205-BF77-D8D6AF6901EC}"/>
    <cellStyle name="20% - Accent6" xfId="142" xr:uid="{89835DC8-61F9-4B69-B27D-39446E32324A}"/>
    <cellStyle name="3_mezery" xfId="143" xr:uid="{004A414F-9738-4CE7-8AF9-9F9970DD5277}"/>
    <cellStyle name="40 % – Zvýraznění1" xfId="144" xr:uid="{28D66F50-F0B3-46E1-B9C8-5EDEF7292DDC}"/>
    <cellStyle name="40 % – Zvýraznění1 2" xfId="308" xr:uid="{CACE9358-3AC1-4A08-A01E-70168DD0F91E}"/>
    <cellStyle name="40 % – Zvýraznění2" xfId="145" xr:uid="{4DA4D6A7-0C59-4933-B3F2-219E8027D1E0}"/>
    <cellStyle name="40 % – Zvýraznění3" xfId="146" xr:uid="{98D2CB6F-7458-400A-8019-3FB64F56BA90}"/>
    <cellStyle name="40 % – Zvýraznění4" xfId="147" xr:uid="{AE74CDDA-9341-43DD-B9FE-6E4149A3829A}"/>
    <cellStyle name="40 % – Zvýraznění5" xfId="148" xr:uid="{AB84C04D-6B6E-4663-9BA6-B9DA9E416B9A}"/>
    <cellStyle name="40 % – Zvýraznění6" xfId="149" xr:uid="{684D0A6B-464E-421E-91F3-A49F66EF67C0}"/>
    <cellStyle name="40% - Accent1" xfId="150" xr:uid="{399DB5FA-1D4D-421A-A8A1-9E119BC876DC}"/>
    <cellStyle name="40% - Accent2" xfId="151" xr:uid="{BD16028C-9F05-468D-A5D4-EEB4CA7F6C6D}"/>
    <cellStyle name="40% - Accent3" xfId="152" xr:uid="{36FAC9AF-DDE4-4697-94D5-8A6F3FC4822F}"/>
    <cellStyle name="40% - Accent4" xfId="153" xr:uid="{55A7FB5C-3F18-45F1-807C-940A706FA763}"/>
    <cellStyle name="40% - Accent5" xfId="154" xr:uid="{27F44CA7-5832-413A-8309-027F42E72450}"/>
    <cellStyle name="40% - Accent6" xfId="155" xr:uid="{AE4C0DB5-7265-469C-BE0B-FFFCF736C4F0}"/>
    <cellStyle name="60 % – Zvýraznění1" xfId="156" xr:uid="{D81A7DA4-A0FD-493E-8468-4223FEF53ACE}"/>
    <cellStyle name="60 % – Zvýraznění2" xfId="157" xr:uid="{7523F371-2009-480B-84F5-8BA368F44C72}"/>
    <cellStyle name="60 % – Zvýraznění3" xfId="158" xr:uid="{77DFEE8A-27BC-4535-AE80-D7538BB56F38}"/>
    <cellStyle name="60 % – Zvýraznění4" xfId="159" xr:uid="{FE1A6918-6AB0-44F5-810E-937635535C82}"/>
    <cellStyle name="60 % – Zvýraznění5" xfId="160" xr:uid="{005C7D05-B6C6-4A85-95A3-AD39C4172E95}"/>
    <cellStyle name="60 % – Zvýraznění6" xfId="161" xr:uid="{C8ED4D08-8DE1-45A6-BBBD-6A6BA8DEC973}"/>
    <cellStyle name="60% - Accent1" xfId="162" xr:uid="{2E73710A-9BA4-4E56-A8CA-130A023F2615}"/>
    <cellStyle name="60% - Accent2" xfId="163" xr:uid="{F4BDF9AB-23D6-4EB9-9E1E-D06E29B0DB94}"/>
    <cellStyle name="60% - Accent3" xfId="164" xr:uid="{6B07A31E-9CCD-4A79-8452-F0A84B645961}"/>
    <cellStyle name="60% - Accent4" xfId="165" xr:uid="{BC653389-41AD-4B2D-98BA-5D8B1BDF9B90}"/>
    <cellStyle name="60% - Accent5" xfId="166" xr:uid="{891C411C-A1A8-4A38-9FBE-07CDDBC8F426}"/>
    <cellStyle name="60% - Accent6" xfId="167" xr:uid="{A58DF873-E284-4B7E-88DB-94602EBB3941}"/>
    <cellStyle name="Accent1" xfId="168" xr:uid="{2B10332F-4A40-4B9A-A61A-DC88AD5F3586}"/>
    <cellStyle name="Accent1 - 20%" xfId="169" xr:uid="{716D0BBF-907A-4458-968E-E03B1054BCEC}"/>
    <cellStyle name="Accent1 - 40%" xfId="170" xr:uid="{01DE6BDF-E3B2-46FA-9733-400B61AA8DA7}"/>
    <cellStyle name="Accent1 - 60%" xfId="171" xr:uid="{088A3B0E-F6CC-4735-8018-850C826F3E7D}"/>
    <cellStyle name="Accent2" xfId="172" xr:uid="{C2CFF32A-ACD6-4CA5-9410-B241443A01FD}"/>
    <cellStyle name="Accent2 - 20%" xfId="173" xr:uid="{F7BEC8B3-9E5D-4608-9CFF-444D57ED843F}"/>
    <cellStyle name="Accent2 - 40%" xfId="174" xr:uid="{BEDD6679-788D-4A62-B068-4445BE248A92}"/>
    <cellStyle name="Accent2 - 60%" xfId="175" xr:uid="{55E20C46-E65E-425E-A6E9-CD454E0F7384}"/>
    <cellStyle name="Accent3" xfId="176" xr:uid="{FCAAECB5-C3A2-4AD0-ADC3-E0535B555342}"/>
    <cellStyle name="Accent3 - 20%" xfId="177" xr:uid="{78CA02AC-4621-4CAA-9E27-40BE82255436}"/>
    <cellStyle name="Accent3 - 40%" xfId="178" xr:uid="{700A98A1-06CA-4791-9793-BD38AE5349EA}"/>
    <cellStyle name="Accent3 - 60%" xfId="179" xr:uid="{6125642B-0C2F-4D48-8D5F-7B0ACAD0396D}"/>
    <cellStyle name="Accent4" xfId="180" xr:uid="{988CFDC8-D78A-4CD5-BBCB-3DAFE2AF9A7A}"/>
    <cellStyle name="Accent4 - 20%" xfId="181" xr:uid="{C1786B08-495C-4C5D-8FE9-7E09C45AFD35}"/>
    <cellStyle name="Accent4 - 40%" xfId="182" xr:uid="{D43DF037-DD9A-4386-8960-2BCD575241A2}"/>
    <cellStyle name="Accent4 - 60%" xfId="183" xr:uid="{4EA7C57E-CEAB-4E1C-8F8A-F7D16198607F}"/>
    <cellStyle name="Accent5" xfId="184" xr:uid="{2AF7C323-720B-4768-A4D7-B1835E03507A}"/>
    <cellStyle name="Accent5 - 20%" xfId="185" xr:uid="{61CA82B7-E57F-430E-9F86-861E85F40AEE}"/>
    <cellStyle name="Accent5 - 40%" xfId="186" xr:uid="{24B45FFB-A49F-48C2-AA64-9BF06C51AEEF}"/>
    <cellStyle name="Accent5 - 60%" xfId="187" xr:uid="{AADBB5C0-1639-4538-9738-40C881C02419}"/>
    <cellStyle name="Accent6" xfId="188" xr:uid="{C9B3C229-3621-4396-89CD-C9CCD5A0C866}"/>
    <cellStyle name="Accent6 - 20%" xfId="189" xr:uid="{EE8BB20C-04A8-4185-A448-F8D2AD597EE2}"/>
    <cellStyle name="Accent6 - 40%" xfId="190" xr:uid="{340B243E-90B0-4D3A-9013-96CA9B90FA07}"/>
    <cellStyle name="Accent6 - 60%" xfId="191" xr:uid="{0BBF2ADD-C7E4-4464-8A23-A1C57B0E6DCA}"/>
    <cellStyle name="Bad" xfId="192" xr:uid="{46137872-D59B-4C80-B9DE-E45ABD2BCE3E}"/>
    <cellStyle name="Calculation" xfId="193" xr:uid="{18011678-4687-47B9-B4EB-E9F6E2F54FDA}"/>
    <cellStyle name="Celkem 2" xfId="81" xr:uid="{A01DD9EE-62EF-49DF-BD9D-38C7AB16C673}"/>
    <cellStyle name="Celkem 2 2" xfId="294" xr:uid="{555E1E87-A4E7-4EFE-B9AD-2F5F4D8DDD5F}"/>
    <cellStyle name="Celkem 3" xfId="92" xr:uid="{5BA80A10-2EF8-4056-813D-CE1DB5FA2CC9}"/>
    <cellStyle name="Celkem 4" xfId="93" xr:uid="{AD4F1D8A-D2C5-41F4-BD7D-B64F4D00A8EF}"/>
    <cellStyle name="Celkem 5" xfId="75" xr:uid="{3F82768D-F43F-40B5-AD01-C145EC9C8B8B}"/>
    <cellStyle name="Celkem 6" xfId="194" xr:uid="{30B1A716-2905-4921-8E72-F21B0C383946}"/>
    <cellStyle name="Comma" xfId="6" xr:uid="{D3CC12B6-9387-4BD7-9E4B-944F23E6F321}"/>
    <cellStyle name="Comma [0]" xfId="7" xr:uid="{854605DD-7ADA-475B-ADBB-A09C5108E6B6}"/>
    <cellStyle name="Comma [0] 2" xfId="35" xr:uid="{D921D38F-14C6-409F-9E37-9F5C1D50B034}"/>
    <cellStyle name="Comma [0] 3" xfId="118" xr:uid="{FDC78356-A44B-4904-A34B-4D8EF5C3C282}"/>
    <cellStyle name="Comma 2" xfId="16" xr:uid="{88E9FB02-3DA7-4A24-8729-C309C809BCDF}"/>
    <cellStyle name="Comma 3" xfId="25" xr:uid="{93E54452-88F8-4BAD-A85D-29780B412F03}"/>
    <cellStyle name="Comma 4" xfId="71" xr:uid="{AC0C61BE-6F4A-4B03-8D75-C445611AE9D4}"/>
    <cellStyle name="Comma 5" xfId="101" xr:uid="{BBC6D4FF-7730-4FE7-9367-CC6F5BFF5CFE}"/>
    <cellStyle name="Comma 6" xfId="117" xr:uid="{D0D2FE69-5736-4CFD-98EB-D5A0EAD77A51}"/>
    <cellStyle name="Comma 7" xfId="124" xr:uid="{F50B3C45-E8BA-4E99-8E2F-C7155DA84356}"/>
    <cellStyle name="Comma_K2 Makroscénář tabulky a grafy v2" xfId="309" xr:uid="{E83F3D18-662F-4F45-833C-32987F3EC31A}"/>
    <cellStyle name="Comma0" xfId="26" xr:uid="{CC2C0805-E38B-41B5-A41E-2B5B9CC3230F}"/>
    <cellStyle name="Comma0 2" xfId="102" xr:uid="{E2F7EC18-E22D-42B3-A6B8-2B0852B8F205}"/>
    <cellStyle name="Comma0 2 2" xfId="295" xr:uid="{39BEAAFA-5C5F-4B47-8B18-9073BB471CE6}"/>
    <cellStyle name="Comma0 3" xfId="195" xr:uid="{9F477843-797B-4BAE-B9FC-78481156D66C}"/>
    <cellStyle name="Currency" xfId="4" xr:uid="{A223E3CE-412C-4081-AE17-1898D20ADCCE}"/>
    <cellStyle name="Currency [0]" xfId="5" xr:uid="{06632FBE-8F84-4500-A289-93D1F90E7216}"/>
    <cellStyle name="Currency [0] 2" xfId="116" xr:uid="{9BE027F7-B6FD-4D07-BA37-A9C4CC88E40D}"/>
    <cellStyle name="Currency 2" xfId="17" xr:uid="{EE86FC94-B329-45A8-8F6C-90DD11D05A3E}"/>
    <cellStyle name="Currency 3" xfId="27" xr:uid="{15B74156-8A2B-41DE-861F-DE6048415CDB}"/>
    <cellStyle name="Currency 4" xfId="70" xr:uid="{C6A26FB9-7D37-46A1-9C82-C462344E62BD}"/>
    <cellStyle name="Currency 5" xfId="103" xr:uid="{B21A611E-7816-4AE9-AA82-178FC9AE4BAF}"/>
    <cellStyle name="Currency 6" xfId="115" xr:uid="{5AF5CBD4-707F-4613-9053-A87CC07D85EB}"/>
    <cellStyle name="Currency 7" xfId="123" xr:uid="{E8430919-F48D-41F4-AB7E-11432C098711}"/>
    <cellStyle name="Currency_K2 Makroscénář tabulky a grafy v2" xfId="310" xr:uid="{76756580-7F9B-499E-B27B-94829AB7EDFD}"/>
    <cellStyle name="Currency0" xfId="28" xr:uid="{3A1CF90D-F8C9-4612-8401-4A7C195C88B8}"/>
    <cellStyle name="Currency0 2" xfId="104" xr:uid="{630A644B-84BF-4448-A970-E1E6902FC82E}"/>
    <cellStyle name="Currency0 2 2" xfId="296" xr:uid="{624D7A2F-3766-4568-A95F-FCE7FA13CCE7}"/>
    <cellStyle name="Currency0 3" xfId="196" xr:uid="{33469381-5483-4C38-8850-BF91B9174A82}"/>
    <cellStyle name="Čárka" xfId="316" builtinId="3"/>
    <cellStyle name="Čárka 2" xfId="10" xr:uid="{7FE6B727-85DA-4E78-B7BF-C2F885C190F4}"/>
    <cellStyle name="Čárka 2 2" xfId="311" xr:uid="{4776B254-AE9C-4D83-A6AC-CC15D26386B4}"/>
    <cellStyle name="čárky 3" xfId="197" xr:uid="{DA969174-8C56-4082-A0EC-B7CE066B95D9}"/>
    <cellStyle name="Čárky bez des. míst 2" xfId="11" xr:uid="{4A5578E9-09C4-4AE0-A1CC-48CEC242BD93}"/>
    <cellStyle name="Date" xfId="18" xr:uid="{B0375CBE-E727-47E3-A2A4-CBA85559988E}"/>
    <cellStyle name="Date 2" xfId="41" xr:uid="{CD180059-7E21-483C-BF64-20153C1BA050}"/>
    <cellStyle name="Date 2 2" xfId="297" xr:uid="{71482180-CE7D-4DC5-BC08-9E6A0E3C05FC}"/>
    <cellStyle name="Date 3" xfId="105" xr:uid="{3C12A33F-FE94-483D-AE45-BC025DDAABD5}"/>
    <cellStyle name="Date 4" xfId="198" xr:uid="{B1CB8FD1-27A4-4468-A0E6-386CCF7D3EB2}"/>
    <cellStyle name="Datum" xfId="29" xr:uid="{6E1D0F28-71B8-476A-B61D-5A26F965709D}"/>
    <cellStyle name="Datum 2" xfId="82" xr:uid="{1FBA19CA-B9DF-458F-B03D-181DF0D7FEB8}"/>
    <cellStyle name="Datum 3" xfId="91" xr:uid="{B47CAA86-2867-4444-A8DA-6B90A8C165F8}"/>
    <cellStyle name="Datum 4" xfId="94" xr:uid="{02A6FE65-E993-401A-9E68-BF4A125E1733}"/>
    <cellStyle name="Datum 5" xfId="74" xr:uid="{ABDF52DD-AF90-492B-9A73-259821C394D7}"/>
    <cellStyle name="Emphasis 1" xfId="199" xr:uid="{E4DF5B73-74D0-43E3-AC8B-9324E621B031}"/>
    <cellStyle name="Emphasis 2" xfId="200" xr:uid="{3EF76CFC-D1E6-49D7-A1D3-411C71B7F7C6}"/>
    <cellStyle name="Emphasis 3" xfId="201" xr:uid="{06645336-46C9-43AD-977F-BB72FBE7478E}"/>
    <cellStyle name="Explanatory Text" xfId="202" xr:uid="{DA54DB61-75AF-4A19-AC93-96A4E40BC63D}"/>
    <cellStyle name="Finanční0" xfId="30" xr:uid="{B58E2E95-0B37-42A7-9383-92CD64C522A9}"/>
    <cellStyle name="Finanční0 2" xfId="83" xr:uid="{609D4387-5537-4F60-B250-04F1A1D7B72F}"/>
    <cellStyle name="Finanční0 3" xfId="90" xr:uid="{4466E017-649E-46D8-A830-3C09E282BAD8}"/>
    <cellStyle name="Finanční0 4" xfId="95" xr:uid="{42A37050-D607-4C87-A177-59F6FB92320A}"/>
    <cellStyle name="Finanční0 5" xfId="73" xr:uid="{38CE5F7D-7606-4330-9CAF-D9C36D161AE4}"/>
    <cellStyle name="Fixed" xfId="19" xr:uid="{19ECEE06-60E9-440F-A0D4-79458BB61B9B}"/>
    <cellStyle name="Fixed 2" xfId="42" xr:uid="{CC832C52-34A6-49CF-81BC-3CF8B3674EB5}"/>
    <cellStyle name="Fixed 2 2" xfId="298" xr:uid="{99DBAD0A-111E-41AD-B0ED-C386CF0CB803}"/>
    <cellStyle name="Fixed 3" xfId="106" xr:uid="{08B2BC24-382F-4BC0-9CAC-E3A5029C5692}"/>
    <cellStyle name="Fixed 4" xfId="203" xr:uid="{02CD6FDF-6B6B-4693-B350-6EE698EF3F1A}"/>
    <cellStyle name="Good" xfId="204" xr:uid="{322DEA57-3C59-464F-85CC-D0A8EEFF113B}"/>
    <cellStyle name="Heading 1" xfId="31" xr:uid="{286D6E44-405E-4591-BC44-1602A73E792A}"/>
    <cellStyle name="Heading 1 2" xfId="107" xr:uid="{7090FE0E-16ED-47FB-A1BC-E931C556CC54}"/>
    <cellStyle name="Heading 1 3" xfId="205" xr:uid="{6A2B666E-A357-45F2-A4E8-8CD4C1CADF58}"/>
    <cellStyle name="Heading 2" xfId="32" xr:uid="{55D6762D-0EF0-4552-9848-3D16BC0B9339}"/>
    <cellStyle name="Heading 2 2" xfId="108" xr:uid="{C20367BE-3160-4B65-8909-36144227A252}"/>
    <cellStyle name="Heading 2 3" xfId="206" xr:uid="{210A6D11-D85E-49E5-A761-39F41C1B9F50}"/>
    <cellStyle name="Heading 3" xfId="207" xr:uid="{5D128F07-ECA5-4FF9-93B1-8FF43BE28815}"/>
    <cellStyle name="Heading 4" xfId="208" xr:uid="{9C90E5BB-A71A-41A1-946A-6A274E506917}"/>
    <cellStyle name="Heading1" xfId="20" xr:uid="{6C0010B3-34F1-42BC-9A6B-27E3124B9BDD}"/>
    <cellStyle name="Heading1 2" xfId="109" xr:uid="{A33B2FD9-6008-42F5-9A08-900F50C10481}"/>
    <cellStyle name="Heading1 3" xfId="209" xr:uid="{4683BA89-C265-4896-AB9C-7B364C30B0E3}"/>
    <cellStyle name="Heading2" xfId="21" xr:uid="{AC4A4B6D-49E7-414E-AD33-99F96C57655A}"/>
    <cellStyle name="Heading2 2" xfId="110" xr:uid="{C861548A-54DC-4955-831E-824C8A764FB6}"/>
    <cellStyle name="Heading2 3" xfId="210" xr:uid="{D4723D5D-384C-48AD-B7BC-ACA0AC9156D4}"/>
    <cellStyle name="Hyperlink" xfId="8" xr:uid="{962E6E6A-06BA-48E6-907D-56D90B0D4D99}"/>
    <cellStyle name="Hypertextový odkaz" xfId="9" xr:uid="{E051B9AE-4B64-4F5C-82F1-EB9F5E86C8FA}"/>
    <cellStyle name="Hypertextový odkaz 10" xfId="211" xr:uid="{7B9D7C9D-4E11-4DC4-8A99-FCB0DBC31626}"/>
    <cellStyle name="Hypertextový odkaz 2" xfId="37" xr:uid="{19193D19-1C38-4ACE-BADE-9168A1B42B5D}"/>
    <cellStyle name="Hypertextový odkaz 2 2" xfId="52" xr:uid="{05178893-179C-4033-B9F7-FDCD6D7CD95B}"/>
    <cellStyle name="Hypertextový odkaz 2 3" xfId="293" xr:uid="{C72036D0-F10E-46F2-A28E-EA5ABF9668F3}"/>
    <cellStyle name="Hypertextový odkaz 3" xfId="54" xr:uid="{01AEC110-1482-4547-888A-128457C17DDA}"/>
    <cellStyle name="Hypertextový odkaz 4" xfId="57" xr:uid="{AD339C39-3744-448E-990A-B42617ACB169}"/>
    <cellStyle name="Hypertextový odkaz 5" xfId="60" xr:uid="{4FD11B4E-4B59-4349-A731-76E3C951FFA7}"/>
    <cellStyle name="Hypertextový odkaz 6" xfId="64" xr:uid="{28147FBB-AC0F-4A24-890D-41BA938C8CCD}"/>
    <cellStyle name="Hypertextový odkaz 7" xfId="67" xr:uid="{44AA7EF5-AA00-4988-87A6-F4FDC52A7D5B}"/>
    <cellStyle name="Hypertextový odkaz 8" xfId="69" xr:uid="{80AABD8D-A5B8-45F7-AA57-B60EA361D849}"/>
    <cellStyle name="Hypertextový odkaz 9" xfId="49" xr:uid="{DDD99217-E711-4F34-924B-E1B495883534}"/>
    <cellStyle name="Check Cell" xfId="212" xr:uid="{EC7F2BF5-714C-4922-B4BD-E86885A7EAC5}"/>
    <cellStyle name="Chybně" xfId="213" xr:uid="{D2B13FFB-EA10-4B7C-8954-559C25ABD643}"/>
    <cellStyle name="Input" xfId="214" xr:uid="{6D20C48B-8CFF-45E9-B245-75ADE6703A1E}"/>
    <cellStyle name="Kč" xfId="299" xr:uid="{3B978272-4BDA-4CA1-9D39-3A80976D2909}"/>
    <cellStyle name="Kontrolní buňka 2" xfId="215" xr:uid="{A296FB5E-39FA-48F2-8978-9919CFDC3B07}"/>
    <cellStyle name="Linked Cell" xfId="216" xr:uid="{505D9688-2E1B-4E8C-B23A-FD81114D7B20}"/>
    <cellStyle name="LO" xfId="300" xr:uid="{48B6E55D-2C44-4C06-A884-73EAEE230167}"/>
    <cellStyle name="Měna 2" xfId="12" xr:uid="{CD457E40-1E1F-42E9-BF10-23CE4424EB48}"/>
    <cellStyle name="Měna0" xfId="33" xr:uid="{AAD0AB45-8B34-451C-B725-575A481103D7}"/>
    <cellStyle name="Měna0 2" xfId="84" xr:uid="{998962E2-41E8-4809-B2A9-606BEC20EFB1}"/>
    <cellStyle name="Měna0 3" xfId="89" xr:uid="{56ECEDD7-53E3-4987-BFFB-D3BF3161186C}"/>
    <cellStyle name="Měna0 4" xfId="96" xr:uid="{48A38948-2430-4962-B460-90F2B1FF58C2}"/>
    <cellStyle name="Měna0 5" xfId="72" xr:uid="{298F3657-6FBB-4BC3-B3B0-D4F6ED2D1D2C}"/>
    <cellStyle name="Měna0 6" xfId="217" xr:uid="{E124DEE7-159E-480D-BF81-602453F58A64}"/>
    <cellStyle name="Měny bez des. míst 2" xfId="13" xr:uid="{A21D0A6B-736F-44CE-B658-0B061114B1BF}"/>
    <cellStyle name="nadpis" xfId="218" xr:uid="{CF1E9526-0F10-4DDB-806F-5383F26E3CEA}"/>
    <cellStyle name="Nadpis 1 2" xfId="219" xr:uid="{AE4BE08C-5462-4114-9245-0936A79176FE}"/>
    <cellStyle name="Nadpis 2 2" xfId="220" xr:uid="{BB27673D-D0B8-4792-9CD0-69FDC0E64651}"/>
    <cellStyle name="Nadpis 3 2" xfId="221" xr:uid="{8BB5352A-F38F-4F70-9847-285B8BBE1C19}"/>
    <cellStyle name="Nadpis 4 2" xfId="222" xr:uid="{F35B148E-9D5F-4C36-8820-1AB0B4C6CC8E}"/>
    <cellStyle name="Název 2" xfId="223" xr:uid="{920F0B10-A933-44C9-B604-2880C32435D9}"/>
    <cellStyle name="Neutral" xfId="224" xr:uid="{E4D24DE5-32AE-4738-B4C8-2AF63B2C28EC}"/>
    <cellStyle name="Neutrální 2" xfId="225" xr:uid="{F8700AB2-4FA7-4775-A520-44B012D02DA9}"/>
    <cellStyle name="Normal" xfId="113" xr:uid="{EE876FBF-B996-4516-B517-038ADB22BF3C}"/>
    <cellStyle name="Normal 2" xfId="121" xr:uid="{A178A82E-9CDC-4A04-B24A-ECD2DB8CE202}"/>
    <cellStyle name="Normal 3" xfId="314" xr:uid="{C7AA7DF0-1320-461D-BDCF-418AA6E5BE42}"/>
    <cellStyle name="Normální" xfId="0" builtinId="0"/>
    <cellStyle name="Normální 10" xfId="55" xr:uid="{BD3225FC-5CF0-45D1-81DC-535536007CA1}"/>
    <cellStyle name="Normální 11" xfId="56" xr:uid="{5D432D7D-0B84-47B0-8D4B-B7F3659065E2}"/>
    <cellStyle name="Normální 12" xfId="58" xr:uid="{35BAE683-69B1-4381-B749-79FDAFA86DBB}"/>
    <cellStyle name="Normální 13" xfId="59" xr:uid="{A77B02BE-A7D8-4E35-BEDE-0294407A87F9}"/>
    <cellStyle name="Normální 14" xfId="61" xr:uid="{53CBFB55-AC28-49D5-8ACD-0ED84592C0C2}"/>
    <cellStyle name="Normální 15" xfId="62" xr:uid="{9C290751-439F-43CE-8E0F-9CBF5905CF27}"/>
    <cellStyle name="Normální 16" xfId="63" xr:uid="{42D5ABF7-6362-44C9-B042-EF853CE4C307}"/>
    <cellStyle name="Normální 17" xfId="65" xr:uid="{4440AB9B-C6BD-448C-8A39-4508F3525586}"/>
    <cellStyle name="Normální 18" xfId="66" xr:uid="{CB3B5440-E921-49A5-8F88-5C7CA039A70D}"/>
    <cellStyle name="Normální 19" xfId="68" xr:uid="{E066566F-3F98-497F-B831-82FAB1957873}"/>
    <cellStyle name="Normální 2" xfId="15" xr:uid="{7D4B7A0C-E641-407C-8FE6-8AD3947E12A5}"/>
    <cellStyle name="Normální 2 2" xfId="43" xr:uid="{3793F4F8-4A3B-4CC5-96C6-8BCC2A52F8B3}"/>
    <cellStyle name="Normální 2 2 2" xfId="305" xr:uid="{E88752F6-043B-4FEF-B2E1-F1D601B951CF}"/>
    <cellStyle name="Normální 2 3" xfId="39" xr:uid="{9F9C46DC-05C1-4948-9A27-02B2BDA5632B}"/>
    <cellStyle name="Normální 2 4" xfId="120" xr:uid="{CB448FCC-BC47-4D88-BDD3-514E93B99383}"/>
    <cellStyle name="Normální 2 5" xfId="292" xr:uid="{14DE7354-B4C9-4D9E-91E8-7BFAAF378E12}"/>
    <cellStyle name="Normální 20" xfId="38" xr:uid="{C9F0A5EC-CD39-4FD7-8EAE-1E6F99B85200}"/>
    <cellStyle name="Normální 21" xfId="76" xr:uid="{B6449308-F13B-42FA-B18D-656DAFF81A90}"/>
    <cellStyle name="Normální 22" xfId="100" xr:uid="{1F300811-16C7-49C2-A983-D0FEBD72DAAC}"/>
    <cellStyle name="Normální 23" xfId="2" xr:uid="{C8511DEE-5C09-4929-88E3-4E53D4F7D317}"/>
    <cellStyle name="Normální 23 2" xfId="119" xr:uid="{1015EEE1-0B48-466D-8D4B-46D64A162A2A}"/>
    <cellStyle name="Normální 24" xfId="315" xr:uid="{7CF3EFA4-2449-477E-AB85-EF254C5CB7E1}"/>
    <cellStyle name="Normální 3" xfId="24" xr:uid="{0C0705D9-7397-4C4F-8095-248A6147E79B}"/>
    <cellStyle name="Normální 3 2" xfId="44" xr:uid="{268B4FF5-B838-4378-916D-641ABEE6632F}"/>
    <cellStyle name="Normální 3 3" xfId="40" xr:uid="{38F02EDA-B573-4E28-8F8A-051247C3C226}"/>
    <cellStyle name="Normální 3 4" xfId="80" xr:uid="{2AF578D6-8D43-429B-A815-A3829577129D}"/>
    <cellStyle name="Normální 3 5" xfId="301" xr:uid="{75BDBE57-E8C1-4D21-A5FC-71C63F03C0B6}"/>
    <cellStyle name="Normální 4" xfId="45" xr:uid="{66E5DF85-4652-4E28-82EA-F88659BF83E8}"/>
    <cellStyle name="Normální 4 2" xfId="302" xr:uid="{0D12EA0A-222B-4387-9543-3AF97EA967EC}"/>
    <cellStyle name="Normální 5" xfId="46" xr:uid="{F5558B96-ACED-456A-A701-C217ED6B6446}"/>
    <cellStyle name="Normální 5 2" xfId="303" xr:uid="{93154D22-4963-4D54-A14B-09E0A687450C}"/>
    <cellStyle name="Normální 6" xfId="48" xr:uid="{A7722D6A-70DF-4362-AFD7-815CD401B520}"/>
    <cellStyle name="Normální 6 2" xfId="307" xr:uid="{F928311B-8BE0-4761-BF88-9B0B0F2BB9C6}"/>
    <cellStyle name="Normální 7" xfId="50" xr:uid="{26E66460-A048-4FB8-86C4-08AC8DF96541}"/>
    <cellStyle name="Normální 7 2" xfId="312" xr:uid="{62659C23-CB05-4232-8051-26098CFF0402}"/>
    <cellStyle name="Normální 8" xfId="51" xr:uid="{178ADCFD-D1D5-4D37-AB32-885F30BBE54A}"/>
    <cellStyle name="Normální 9" xfId="53" xr:uid="{260BDB47-6361-4958-B260-65130A119FDD}"/>
    <cellStyle name="Note" xfId="226" xr:uid="{E147D446-AB07-45D9-9A10-753422553B9D}"/>
    <cellStyle name="Output" xfId="227" xr:uid="{6FC71434-2F13-4451-9149-9DF26829940E}"/>
    <cellStyle name="PB_TR10" xfId="304" xr:uid="{B988A325-154F-4FDB-A565-97D214A49A17}"/>
    <cellStyle name="Percent" xfId="3" xr:uid="{D8324723-605E-44F2-8184-028EE52A112D}"/>
    <cellStyle name="Percent 2" xfId="22" xr:uid="{656E661E-481F-4A6B-906B-1336F04AAD44}"/>
    <cellStyle name="Percent 3" xfId="111" xr:uid="{8689849E-3453-40EC-97D4-1253B6ADC19A}"/>
    <cellStyle name="Percent 4" xfId="114" xr:uid="{119DF8E3-EECB-48CA-B0C0-DCBADED597EC}"/>
    <cellStyle name="Percent 5" xfId="122" xr:uid="{F9150810-7882-44B1-ADC2-86CD9270A645}"/>
    <cellStyle name="Pevný" xfId="34" xr:uid="{F1996C2A-ABEF-4014-A93D-80B2B5414612}"/>
    <cellStyle name="Pevný 2" xfId="85" xr:uid="{424D4DBB-BEF7-4141-B843-C13C70AAFF16}"/>
    <cellStyle name="Pevný 3" xfId="88" xr:uid="{3EEBCE41-7DFC-4805-8D8A-CB072D532327}"/>
    <cellStyle name="Pevný 4" xfId="97" xr:uid="{B29049B0-FA0D-4E7B-84BD-A7B578EAF1D8}"/>
    <cellStyle name="Pevný 5" xfId="77" xr:uid="{1FC5C9BC-8027-450E-BCC6-0DF737334AF1}"/>
    <cellStyle name="Poznámka 2" xfId="313" xr:uid="{98446E21-A352-4647-8844-9958F334C01D}"/>
    <cellStyle name="Poznámka 3" xfId="228" xr:uid="{DF4336F8-1CA7-493B-B14D-CE6712A5FE32}"/>
    <cellStyle name="Procenta" xfId="1" builtinId="5"/>
    <cellStyle name="Procenta 2" xfId="14" xr:uid="{36F20F23-C690-4EF1-B193-92E99214FD30}"/>
    <cellStyle name="Procenta 2 2" xfId="306" xr:uid="{DABA3D82-18EF-45C5-A3EE-E47747F7C4B4}"/>
    <cellStyle name="Propojená buňka 2" xfId="229" xr:uid="{623B8A8D-0712-4268-BDDD-E6C146E17CA7}"/>
    <cellStyle name="SAPBEXaggData" xfId="230" xr:uid="{BA7B06AE-215B-42BE-AB2C-0947AF1518F8}"/>
    <cellStyle name="SAPBEXaggDataEmph" xfId="231" xr:uid="{DA51DB0B-AEC9-4E97-9D2E-AE30C2999304}"/>
    <cellStyle name="SAPBEXaggItem" xfId="232" xr:uid="{C3A2BBB2-ED91-481F-AED5-1B10EA6E35D8}"/>
    <cellStyle name="SAPBEXaggItemX" xfId="233" xr:uid="{1C2DCA5D-6F44-486C-A364-C6624623439B}"/>
    <cellStyle name="SAPBEXexcBad7" xfId="234" xr:uid="{D7200EE4-7FBD-4A1E-9BB1-99C41B3B64CE}"/>
    <cellStyle name="SAPBEXexcBad8" xfId="235" xr:uid="{FB442191-4CEB-4381-9DAE-072F827CC94A}"/>
    <cellStyle name="SAPBEXexcBad9" xfId="236" xr:uid="{EE5734FC-0241-4582-AEF9-45345F2C32F5}"/>
    <cellStyle name="SAPBEXexcCritical4" xfId="237" xr:uid="{FE7EC9E7-0F5A-43BD-8561-828526044594}"/>
    <cellStyle name="SAPBEXexcCritical5" xfId="238" xr:uid="{830D191D-8180-4D5B-B724-4C1BFAD1AA02}"/>
    <cellStyle name="SAPBEXexcCritical6" xfId="239" xr:uid="{19EAF4B7-52F8-46F2-BE01-AF00691F887D}"/>
    <cellStyle name="SAPBEXexcGood1" xfId="240" xr:uid="{3EDCD4CF-5806-45E9-81D3-912D28F93C46}"/>
    <cellStyle name="SAPBEXexcGood2" xfId="241" xr:uid="{EEAF02D8-D1C8-40E9-8B37-35A575020A4C}"/>
    <cellStyle name="SAPBEXexcGood3" xfId="242" xr:uid="{4884AE7D-8462-45EE-99FE-0642897563F4}"/>
    <cellStyle name="SAPBEXfilterDrill" xfId="243" xr:uid="{F372EB6C-3C8A-4494-937D-50E32FA12520}"/>
    <cellStyle name="SAPBEXFilterInfo1" xfId="244" xr:uid="{05986621-6C2A-4EA6-B4D0-75A802C38477}"/>
    <cellStyle name="SAPBEXFilterInfo2" xfId="245" xr:uid="{81A5BB61-D05D-4346-BFF1-585901AEADBF}"/>
    <cellStyle name="SAPBEXFilterInfoHlavicka" xfId="246" xr:uid="{DD754981-D365-48EA-A078-C2047C13D321}"/>
    <cellStyle name="SAPBEXfilterItem" xfId="247" xr:uid="{3614353F-597C-4270-9FEA-C0C7F383CEBA}"/>
    <cellStyle name="SAPBEXfilterText" xfId="248" xr:uid="{E157CA9D-30F1-48D0-90A8-257A12D75B97}"/>
    <cellStyle name="SAPBEXformats" xfId="249" xr:uid="{7889E52C-FE1E-4546-A066-5734F0B1F6E4}"/>
    <cellStyle name="SAPBEXheaderItem" xfId="250" xr:uid="{9067FD48-A9B5-45FE-AED6-7114E5903EBB}"/>
    <cellStyle name="SAPBEXheaderText" xfId="251" xr:uid="{10D58349-7E66-4628-B1F0-7C71EAC527E8}"/>
    <cellStyle name="SAPBEXHLevel0" xfId="252" xr:uid="{58E5DDDE-9822-4D3D-8718-BADF848C655A}"/>
    <cellStyle name="SAPBEXHLevel0X" xfId="253" xr:uid="{7A276ABA-E73F-40DC-92A5-684734BA976D}"/>
    <cellStyle name="SAPBEXHLevel1" xfId="254" xr:uid="{93BE157A-A079-41CF-AEB4-7ABB5EE83D54}"/>
    <cellStyle name="SAPBEXHLevel1X" xfId="255" xr:uid="{67A3057C-8A13-4C9C-B76D-E8132521D84F}"/>
    <cellStyle name="SAPBEXHLevel2" xfId="256" xr:uid="{55E59230-AE23-43CD-870D-F0CFA16E008B}"/>
    <cellStyle name="SAPBEXHLevel2X" xfId="257" xr:uid="{3721430A-2781-43AE-8A0E-257BAC55A2AB}"/>
    <cellStyle name="SAPBEXHLevel3" xfId="258" xr:uid="{503A20FA-4636-4581-B61E-F1FBD5065250}"/>
    <cellStyle name="SAPBEXHLevel3X" xfId="259" xr:uid="{B83A6E3A-8F87-4795-9C25-9FDD03FAF877}"/>
    <cellStyle name="SAPBEXchaText" xfId="260" xr:uid="{12C78135-C412-49D7-8265-4C5AF68BE109}"/>
    <cellStyle name="SAPBEXinputData" xfId="261" xr:uid="{2D36EA02-493A-4739-AA35-8BC30AFCC3CB}"/>
    <cellStyle name="SAPBEXItemHeader" xfId="262" xr:uid="{49B0D3E4-EB2B-496E-B614-FCAD92CD62B6}"/>
    <cellStyle name="SAPBEXresData" xfId="263" xr:uid="{060419AB-ADE2-4F4F-AAA4-4E1A8CCB0620}"/>
    <cellStyle name="SAPBEXresDataEmph" xfId="264" xr:uid="{AD48058A-31E1-4547-9AA4-3FDD3ED0D4AE}"/>
    <cellStyle name="SAPBEXresItem" xfId="265" xr:uid="{FE35217F-E58F-4871-9148-6513D2A13F79}"/>
    <cellStyle name="SAPBEXresItemX" xfId="266" xr:uid="{C77F77B5-76DF-42E1-8160-F963ADDEE353}"/>
    <cellStyle name="SAPBEXstdData" xfId="267" xr:uid="{7990AF7F-63CE-41B1-B42C-2E44634E5B91}"/>
    <cellStyle name="SAPBEXstdDataEmph" xfId="268" xr:uid="{D46E2951-F58E-42B0-8A50-F1ED942823D5}"/>
    <cellStyle name="SAPBEXstdItem" xfId="269" xr:uid="{3FCB8948-58C9-4E34-9EA0-0A8F13C26CE9}"/>
    <cellStyle name="SAPBEXstdItemX" xfId="270" xr:uid="{45BCD494-3B59-41DE-857E-7E9F1FB75F11}"/>
    <cellStyle name="SAPBEXtitle" xfId="271" xr:uid="{E2F752BF-573F-465C-B9D2-47111D5DD69A}"/>
    <cellStyle name="SAPBEXunassignedItem" xfId="272" xr:uid="{377EE0D8-DBD2-4C8B-9ACE-3DCB45C2DC48}"/>
    <cellStyle name="SAPBEXundefined" xfId="273" xr:uid="{5A529D5C-27BB-43FB-9B14-0979F60FEA53}"/>
    <cellStyle name="Sheet Title" xfId="274" xr:uid="{3FDB155E-38C5-4305-9FC5-14C327C85F89}"/>
    <cellStyle name="Správně 2" xfId="275" xr:uid="{A37C34CC-B6B8-40C6-8269-4F86AD15DE77}"/>
    <cellStyle name="Styl 1" xfId="36" xr:uid="{6B7702D6-EDE8-4233-8D01-857E26A7B1BD}"/>
    <cellStyle name="Text upozornění 2" xfId="276" xr:uid="{F2971C76-9C25-4461-878B-45319FDA3C12}"/>
    <cellStyle name="Title" xfId="277" xr:uid="{4CFAFBE1-B1AD-465E-B6AB-4444CF1DECE5}"/>
    <cellStyle name="Total" xfId="23" xr:uid="{315BF0AF-4A5D-45E3-866A-477B862B4ADE}"/>
    <cellStyle name="Total 2" xfId="47" xr:uid="{E79585C0-569D-478B-980B-03489549AC5A}"/>
    <cellStyle name="Total 3" xfId="112" xr:uid="{758E04D9-BEF9-4FA6-A333-00CA81193A91}"/>
    <cellStyle name="Total 4" xfId="278" xr:uid="{50825D1F-244F-453D-BB8A-C7F4FE012915}"/>
    <cellStyle name="Vstup 2" xfId="279" xr:uid="{56441152-BBCE-44CD-A60B-09154F70C6C5}"/>
    <cellStyle name="Výpočet 2" xfId="280" xr:uid="{BAC4EE4D-3229-41C6-AE2A-E65BCE5B1063}"/>
    <cellStyle name="Výstup 2" xfId="281" xr:uid="{90FD9D3F-0A8B-49A5-A2F9-461F62CFC0DE}"/>
    <cellStyle name="Vysvětlující text 2" xfId="282" xr:uid="{3304B75C-AD67-4542-8F9F-83B2CC67A5F3}"/>
    <cellStyle name="Warning Text" xfId="283" xr:uid="{59C5CFE1-03EF-453C-A278-69E9CB7170C3}"/>
    <cellStyle name="Záhlaví 1" xfId="78" xr:uid="{ACE844A6-C1DD-4A87-B0F7-F9D8E32E61A7}"/>
    <cellStyle name="Záhlaví 1 2" xfId="86" xr:uid="{666A1ADE-6AB2-4819-83BE-1DC00755D4C2}"/>
    <cellStyle name="Záhlaví 1 3" xfId="98" xr:uid="{7CC58D91-C18D-432A-9230-BDA8ED6A9B6E}"/>
    <cellStyle name="Záhlaví 1 4" xfId="284" xr:uid="{C62D2CD9-726D-4787-986A-7FAEE6005941}"/>
    <cellStyle name="Záhlaví 2" xfId="79" xr:uid="{6C5BBC7B-02D1-4D2A-B5DF-AEA08693E8D6}"/>
    <cellStyle name="Záhlaví 2 2" xfId="87" xr:uid="{7992603F-1EC3-49F1-BCCB-90F81B5D44D2}"/>
    <cellStyle name="Záhlaví 2 3" xfId="99" xr:uid="{40C4489C-F170-48EE-BE5D-5E676AF1CA20}"/>
    <cellStyle name="Záhlaví 2 4" xfId="285" xr:uid="{FB509049-EEC9-4493-8020-D1BC41B5618B}"/>
    <cellStyle name="Zvýraznění 1 2" xfId="286" xr:uid="{28297335-648D-47AD-BEA9-B6EEC51885DB}"/>
    <cellStyle name="Zvýraznění 2 2" xfId="287" xr:uid="{1385C158-B5A9-45A1-8037-99AA1162EB32}"/>
    <cellStyle name="Zvýraznění 3 2" xfId="288" xr:uid="{AE464C5B-D563-4D7B-B28A-E1E55F8E0759}"/>
    <cellStyle name="Zvýraznění 4 2" xfId="289" xr:uid="{58692356-2487-4D71-A56A-FA88B77DA521}"/>
    <cellStyle name="Zvýraznění 5 2" xfId="290" xr:uid="{F0384109-620B-4372-ACC2-A15EA9F392A7}"/>
    <cellStyle name="Zvýraznění 6 2" xfId="291" xr:uid="{BC087BFF-A769-4D75-BB13-2246252EFFD7}"/>
  </cellStyles>
  <dxfs count="14">
    <dxf>
      <font>
        <color rgb="FF9C0006"/>
      </font>
    </dxf>
    <dxf>
      <font>
        <color rgb="FF0E6C2B"/>
      </font>
    </dxf>
    <dxf>
      <font>
        <color rgb="FF9C0006"/>
      </font>
    </dxf>
    <dxf>
      <font>
        <color rgb="FF0E6C2B"/>
      </font>
    </dxf>
    <dxf>
      <font>
        <color rgb="FF9C0006"/>
      </font>
    </dxf>
    <dxf>
      <font>
        <color rgb="FF0E6C2B"/>
      </font>
    </dxf>
    <dxf>
      <font>
        <color rgb="FF9C0006"/>
      </font>
    </dxf>
    <dxf>
      <font>
        <color rgb="FF0E6C2B"/>
      </font>
    </dxf>
    <dxf>
      <font>
        <color rgb="FF9C0006"/>
      </font>
    </dxf>
    <dxf>
      <font>
        <color rgb="FF0E6C2B"/>
      </font>
    </dxf>
    <dxf>
      <font>
        <color rgb="FF0E6C2B"/>
      </font>
    </dxf>
    <dxf>
      <font>
        <color rgb="FF9C0006"/>
      </font>
    </dxf>
    <dxf>
      <font>
        <color rgb="FF9C0006"/>
      </font>
    </dxf>
    <dxf>
      <font>
        <color rgb="FF0E6C2B"/>
      </font>
    </dxf>
  </dxfs>
  <tableStyles count="0" defaultTableStyle="TableStyleMedium2" defaultPivotStyle="PivotStyleLight16"/>
  <colors>
    <mruColors>
      <color rgb="FF0E6C2B"/>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cs-CZ" b="1"/>
              <a:t>Příjmy VF v % HDP</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cs-CZ"/>
        </a:p>
      </c:txPr>
    </c:title>
    <c:autoTitleDeleted val="0"/>
    <c:plotArea>
      <c:layout>
        <c:manualLayout>
          <c:layoutTarget val="inner"/>
          <c:xMode val="edge"/>
          <c:yMode val="edge"/>
          <c:x val="7.5122394855559327E-2"/>
          <c:y val="9.6854219812965492E-2"/>
          <c:w val="0.9050838671329543"/>
          <c:h val="0.76729587077451344"/>
        </c:manualLayout>
      </c:layout>
      <c:barChart>
        <c:barDir val="col"/>
        <c:grouping val="clustered"/>
        <c:varyColors val="0"/>
        <c:ser>
          <c:idx val="0"/>
          <c:order val="0"/>
          <c:tx>
            <c:strRef>
              <c:f>'1b) Kalkulačka - veřejné příjmy'!$E$81</c:f>
              <c:strCache>
                <c:ptCount val="1"/>
                <c:pt idx="0">
                  <c:v>Plánované</c:v>
                </c:pt>
              </c:strCache>
            </c:strRef>
          </c:tx>
          <c:spPr>
            <a:solidFill>
              <a:srgbClr val="0070C0"/>
            </a:solidFill>
            <a:ln>
              <a:noFill/>
            </a:ln>
            <a:effectLst/>
          </c:spPr>
          <c:invertIfNegative val="0"/>
          <c:dLbls>
            <c:dLbl>
              <c:idx val="0"/>
              <c:layout>
                <c:manualLayout>
                  <c:x val="-7.425822537751463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EA-4DC2-830C-840D447ABD68}"/>
                </c:ext>
              </c:extLst>
            </c:dLbl>
            <c:dLbl>
              <c:idx val="6"/>
              <c:layout>
                <c:manualLayout>
                  <c:x val="-3.712911268875867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EA-4DC2-830C-840D447ABD68}"/>
                </c:ext>
              </c:extLst>
            </c:dLbl>
            <c:spPr>
              <a:noFill/>
              <a:ln>
                <a:noFill/>
              </a:ln>
              <a:effectLst/>
            </c:spPr>
            <c:txPr>
              <a:bodyPr rot="0" spcFirstLastPara="1" vertOverflow="ellipsis" vert="horz" wrap="square" anchor="ctr" anchorCtr="1"/>
              <a:lstStyle/>
              <a:p>
                <a:pPr>
                  <a:defRPr sz="900" b="0" i="0" u="none" strike="noStrike" kern="1200" baseline="0">
                    <a:solidFill>
                      <a:srgbClr val="0070C0"/>
                    </a:solidFill>
                    <a:latin typeface="Arial" panose="020B0604020202020204" pitchFamily="34" charset="0"/>
                    <a:ea typeface="+mn-ea"/>
                    <a:cs typeface="Arial" panose="020B0604020202020204" pitchFamily="34" charset="0"/>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'1b) Kalkulačka - veřejné příjmy'!$D$82:$D$88</c:f>
              <c:strCache>
                <c:ptCount val="7"/>
                <c:pt idx="0">
                  <c:v>Daňové příjmy</c:v>
                </c:pt>
                <c:pt idx="1">
                  <c:v>DPPO</c:v>
                </c:pt>
                <c:pt idx="2">
                  <c:v>DPFO</c:v>
                </c:pt>
                <c:pt idx="3">
                  <c:v>DPH</c:v>
                </c:pt>
                <c:pt idx="4">
                  <c:v>Spotřební daně</c:v>
                </c:pt>
                <c:pt idx="5">
                  <c:v>Majetkové daně</c:v>
                </c:pt>
                <c:pt idx="6">
                  <c:v>Sociální příspěvky</c:v>
                </c:pt>
              </c:strCache>
            </c:strRef>
          </c:cat>
          <c:val>
            <c:numRef>
              <c:f>'1b) Kalkulačka - veřejné příjmy'!$E$82:$E$88</c:f>
              <c:numCache>
                <c:formatCode>#\ ##0.0</c:formatCode>
                <c:ptCount val="7"/>
                <c:pt idx="0">
                  <c:v>18.865666978901899</c:v>
                </c:pt>
                <c:pt idx="1">
                  <c:v>3.6152191824466771</c:v>
                </c:pt>
                <c:pt idx="2">
                  <c:v>3.8939638894364048</c:v>
                </c:pt>
                <c:pt idx="3">
                  <c:v>7.3924881654342158</c:v>
                </c:pt>
                <c:pt idx="4">
                  <c:v>2.1040105133416152</c:v>
                </c:pt>
                <c:pt idx="5">
                  <c:v>0.27053104259069682</c:v>
                </c:pt>
                <c:pt idx="6">
                  <c:v>16.035186754211409</c:v>
                </c:pt>
              </c:numCache>
            </c:numRef>
          </c:val>
          <c:extLst>
            <c:ext xmlns:c16="http://schemas.microsoft.com/office/drawing/2014/chart" uri="{C3380CC4-5D6E-409C-BE32-E72D297353CC}">
              <c16:uniqueId val="{00000002-88EA-4DC2-830C-840D447ABD68}"/>
            </c:ext>
          </c:extLst>
        </c:ser>
        <c:ser>
          <c:idx val="1"/>
          <c:order val="1"/>
          <c:tx>
            <c:strRef>
              <c:f>'1b) Kalkulačka - veřejné příjmy'!$F$81</c:f>
              <c:strCache>
                <c:ptCount val="1"/>
                <c:pt idx="0">
                  <c:v>Alternativní </c:v>
                </c:pt>
              </c:strCache>
            </c:strRef>
          </c:tx>
          <c:spPr>
            <a:solidFill>
              <a:srgbClr val="FF0000"/>
            </a:solidFill>
            <a:ln w="28575" cap="rnd">
              <a:solidFill>
                <a:srgbClr val="FF0000"/>
              </a:solidFill>
              <a:round/>
            </a:ln>
            <a:effectLst/>
          </c:spPr>
          <c:invertIfNegative val="0"/>
          <c:dLbls>
            <c:dLbl>
              <c:idx val="6"/>
              <c:layout>
                <c:manualLayout>
                  <c:x val="7.425822537751463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D4-448A-A80B-E634B0A096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'1b) Kalkulačka - veřejné příjmy'!$D$82:$D$88</c:f>
              <c:strCache>
                <c:ptCount val="7"/>
                <c:pt idx="0">
                  <c:v>Daňové příjmy</c:v>
                </c:pt>
                <c:pt idx="1">
                  <c:v>DPPO</c:v>
                </c:pt>
                <c:pt idx="2">
                  <c:v>DPFO</c:v>
                </c:pt>
                <c:pt idx="3">
                  <c:v>DPH</c:v>
                </c:pt>
                <c:pt idx="4">
                  <c:v>Spotřební daně</c:v>
                </c:pt>
                <c:pt idx="5">
                  <c:v>Majetkové daně</c:v>
                </c:pt>
                <c:pt idx="6">
                  <c:v>Sociální příspěvky</c:v>
                </c:pt>
              </c:strCache>
            </c:strRef>
          </c:cat>
          <c:val>
            <c:numRef>
              <c:f>'1b) Kalkulačka - veřejné příjmy'!$F$82:$F$88</c:f>
              <c:numCache>
                <c:formatCode>#\ ##0.0</c:formatCode>
                <c:ptCount val="7"/>
                <c:pt idx="0">
                  <c:v>18.865666978873794</c:v>
                </c:pt>
                <c:pt idx="1">
                  <c:v>3.6152191824466771</c:v>
                </c:pt>
                <c:pt idx="2">
                  <c:v>3.8939638894082957</c:v>
                </c:pt>
                <c:pt idx="3">
                  <c:v>7.3924881654342158</c:v>
                </c:pt>
                <c:pt idx="4">
                  <c:v>2.1040105133416152</c:v>
                </c:pt>
                <c:pt idx="5">
                  <c:v>0.27053104259069682</c:v>
                </c:pt>
                <c:pt idx="6">
                  <c:v>16.035186754211406</c:v>
                </c:pt>
              </c:numCache>
            </c:numRef>
          </c:val>
          <c:extLst>
            <c:ext xmlns:c16="http://schemas.microsoft.com/office/drawing/2014/chart" uri="{C3380CC4-5D6E-409C-BE32-E72D297353CC}">
              <c16:uniqueId val="{00000006-88EA-4DC2-830C-840D447ABD68}"/>
            </c:ext>
          </c:extLst>
        </c:ser>
        <c:ser>
          <c:idx val="2"/>
          <c:order val="2"/>
          <c:tx>
            <c:strRef>
              <c:f>'1b) Kalkulačka - veřejné příjmy'!$G$81</c:f>
              <c:strCache>
                <c:ptCount val="1"/>
                <c:pt idx="0">
                  <c:v>Standardní výnos v zemích EU-27</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'1b) Kalkulačka - veřejné příjmy'!$D$82:$D$88</c:f>
              <c:strCache>
                <c:ptCount val="7"/>
                <c:pt idx="0">
                  <c:v>Daňové příjmy</c:v>
                </c:pt>
                <c:pt idx="1">
                  <c:v>DPPO</c:v>
                </c:pt>
                <c:pt idx="2">
                  <c:v>DPFO</c:v>
                </c:pt>
                <c:pt idx="3">
                  <c:v>DPH</c:v>
                </c:pt>
                <c:pt idx="4">
                  <c:v>Spotřební daně</c:v>
                </c:pt>
                <c:pt idx="5">
                  <c:v>Majetkové daně</c:v>
                </c:pt>
                <c:pt idx="6">
                  <c:v>Sociální příspěvky</c:v>
                </c:pt>
              </c:strCache>
            </c:strRef>
          </c:cat>
          <c:val>
            <c:numRef>
              <c:f>'1b) Kalkulačka - veřejné příjmy'!$G$82:$G$88</c:f>
              <c:numCache>
                <c:formatCode>#\ ##0.0</c:formatCode>
                <c:ptCount val="7"/>
                <c:pt idx="0">
                  <c:v>26.1</c:v>
                </c:pt>
                <c:pt idx="1">
                  <c:v>3.2</c:v>
                </c:pt>
                <c:pt idx="2">
                  <c:v>9.3000000000000007</c:v>
                </c:pt>
                <c:pt idx="3">
                  <c:v>7.1</c:v>
                </c:pt>
                <c:pt idx="4">
                  <c:v>1.9</c:v>
                </c:pt>
                <c:pt idx="5">
                  <c:v>1</c:v>
                </c:pt>
                <c:pt idx="6">
                  <c:v>13.7</c:v>
                </c:pt>
              </c:numCache>
            </c:numRef>
          </c:val>
          <c:extLst>
            <c:ext xmlns:c16="http://schemas.microsoft.com/office/drawing/2014/chart" uri="{C3380CC4-5D6E-409C-BE32-E72D297353CC}">
              <c16:uniqueId val="{00000007-88EA-4DC2-830C-840D447ABD68}"/>
            </c:ext>
          </c:extLst>
        </c:ser>
        <c:dLbls>
          <c:dLblPos val="outEnd"/>
          <c:showLegendKey val="0"/>
          <c:showVal val="1"/>
          <c:showCatName val="0"/>
          <c:showSerName val="0"/>
          <c:showPercent val="0"/>
          <c:showBubbleSize val="0"/>
        </c:dLbls>
        <c:gapWidth val="219"/>
        <c:overlap val="-27"/>
        <c:axId val="570421776"/>
        <c:axId val="570422608"/>
      </c:barChart>
      <c:catAx>
        <c:axId val="57042177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crossAx val="570422608"/>
        <c:crosses val="autoZero"/>
        <c:auto val="1"/>
        <c:lblAlgn val="ctr"/>
        <c:lblOffset val="100"/>
        <c:noMultiLvlLbl val="0"/>
      </c:catAx>
      <c:valAx>
        <c:axId val="570422608"/>
        <c:scaling>
          <c:orientation val="minMax"/>
          <c:max val="3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cs-CZ"/>
                  <a:t>% HDP</a:t>
                </a:r>
              </a:p>
            </c:rich>
          </c:tx>
          <c:layout>
            <c:manualLayout>
              <c:xMode val="edge"/>
              <c:yMode val="edge"/>
              <c:x val="5.3428651601831554E-3"/>
              <c:y val="0.4340884160376212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title>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crossAx val="570421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cs-CZ"/>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400"/>
            </a:pPr>
            <a:r>
              <a:rPr lang="cs-CZ" sz="1400"/>
              <a:t>Příjmy VF v mld. Kč</a:t>
            </a:r>
          </a:p>
        </c:rich>
      </c:tx>
      <c:layout>
        <c:manualLayout>
          <c:xMode val="edge"/>
          <c:yMode val="edge"/>
          <c:x val="0.40914289237525459"/>
          <c:y val="1.2764406643039449E-2"/>
        </c:manualLayout>
      </c:layout>
      <c:overlay val="0"/>
      <c:spPr>
        <a:noFill/>
        <a:ln>
          <a:noFill/>
        </a:ln>
        <a:effectLst/>
      </c:spPr>
    </c:title>
    <c:autoTitleDeleted val="0"/>
    <c:plotArea>
      <c:layout>
        <c:manualLayout>
          <c:layoutTarget val="inner"/>
          <c:xMode val="edge"/>
          <c:yMode val="edge"/>
          <c:x val="8.5242512547279603E-2"/>
          <c:y val="7.733622311459161E-2"/>
          <c:w val="0.90393872631473671"/>
          <c:h val="0.50119227747861761"/>
        </c:manualLayout>
      </c:layout>
      <c:barChart>
        <c:barDir val="col"/>
        <c:grouping val="clustered"/>
        <c:varyColors val="0"/>
        <c:ser>
          <c:idx val="0"/>
          <c:order val="0"/>
          <c:tx>
            <c:strRef>
              <c:f>'1b) Kalkulačka - veřejné příjmy'!$E$71</c:f>
              <c:strCache>
                <c:ptCount val="1"/>
                <c:pt idx="0">
                  <c:v>Plánované</c:v>
                </c:pt>
              </c:strCache>
            </c:strRef>
          </c:tx>
          <c:spPr>
            <a:solidFill>
              <a:srgbClr val="0070C0"/>
            </a:solidFill>
            <a:ln>
              <a:noFill/>
            </a:ln>
            <a:effectLst/>
          </c:spPr>
          <c:invertIfNegative val="0"/>
          <c:dLbls>
            <c:dLbl>
              <c:idx val="0"/>
              <c:layout>
                <c:manualLayout>
                  <c:x val="-5.41271912278149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1C-4973-8F98-756EB49A41F9}"/>
                </c:ext>
              </c:extLst>
            </c:dLbl>
            <c:dLbl>
              <c:idx val="1"/>
              <c:layout>
                <c:manualLayout>
                  <c:x val="-5.41271912278149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1C-4973-8F98-756EB49A41F9}"/>
                </c:ext>
              </c:extLst>
            </c:dLbl>
            <c:dLbl>
              <c:idx val="2"/>
              <c:layout>
                <c:manualLayout>
                  <c:x val="-7.2169588303753274E-3"/>
                  <c:y val="-2.604166132675907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B1C-4973-8F98-756EB49A41F9}"/>
                </c:ext>
              </c:extLst>
            </c:dLbl>
            <c:dLbl>
              <c:idx val="3"/>
              <c:layout>
                <c:manualLayout>
                  <c:x val="-1.4433917660750655E-2"/>
                  <c:y val="-9.548498848071497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1C-4973-8F98-756EB49A41F9}"/>
                </c:ext>
              </c:extLst>
            </c:dLbl>
            <c:dLbl>
              <c:idx val="4"/>
              <c:layout>
                <c:manualLayout>
                  <c:x val="-1.2629677953156889E-2"/>
                  <c:y val="-2.604166132675907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1C-4973-8F98-756EB49A41F9}"/>
                </c:ext>
              </c:extLst>
            </c:dLbl>
            <c:dLbl>
              <c:idx val="5"/>
              <c:layout>
                <c:manualLayout>
                  <c:x val="-1.2629677953156889E-2"/>
                  <c:y val="-2.604166132675907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1C-4973-8F98-756EB49A41F9}"/>
                </c:ext>
              </c:extLst>
            </c:dLbl>
            <c:dLbl>
              <c:idx val="6"/>
              <c:layout>
                <c:manualLayout>
                  <c:x val="-7.216958830375327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B1C-4973-8F98-756EB49A41F9}"/>
                </c:ext>
              </c:extLst>
            </c:dLbl>
            <c:dLbl>
              <c:idx val="7"/>
              <c:layout>
                <c:manualLayout>
                  <c:x val="-9.0211985379692917E-3"/>
                  <c:y val="2.604166132675907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B1C-4973-8F98-756EB49A41F9}"/>
                </c:ext>
              </c:extLst>
            </c:dLbl>
            <c:dLbl>
              <c:idx val="8"/>
              <c:layout>
                <c:manualLayout>
                  <c:x val="-1.082543824556299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B1C-4973-8F98-756EB49A41F9}"/>
                </c:ext>
              </c:extLst>
            </c:dLbl>
            <c:numFmt formatCode="#,##0" sourceLinked="0"/>
            <c:spPr>
              <a:noFill/>
              <a:ln>
                <a:noFill/>
              </a:ln>
              <a:effectLst/>
            </c:spPr>
            <c:txPr>
              <a:bodyPr wrap="square" lIns="38100" tIns="19050" rIns="38100" bIns="19050" anchor="ctr">
                <a:spAutoFit/>
              </a:bodyPr>
              <a:lstStyle/>
              <a:p>
                <a:pPr>
                  <a:defRPr>
                    <a:solidFill>
                      <a:srgbClr val="0070C0"/>
                    </a:solidFill>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'1b) Kalkulačka - veřejné příjmy'!$D$72:$D$80</c:f>
              <c:strCache>
                <c:ptCount val="9"/>
                <c:pt idx="0">
                  <c:v>DPPO</c:v>
                </c:pt>
                <c:pt idx="1">
                  <c:v>DPFO</c:v>
                </c:pt>
                <c:pt idx="2">
                  <c:v>DPH</c:v>
                </c:pt>
                <c:pt idx="3">
                  <c:v>Spotřební daně</c:v>
                </c:pt>
                <c:pt idx="4">
                  <c:v>Ostatní daně a poplatky</c:v>
                </c:pt>
                <c:pt idx="5">
                  <c:v>Pojistné na sociální zabezpečení</c:v>
                </c:pt>
                <c:pt idx="6">
                  <c:v>Zdravotní pojištění (zamětnanci, zaměstnavatelé, OSVČ)</c:v>
                </c:pt>
                <c:pt idx="7">
                  <c:v>Zdravotní pojištění (státní pojištěnci)</c:v>
                </c:pt>
                <c:pt idx="8">
                  <c:v>Ostatní příjmy</c:v>
                </c:pt>
              </c:strCache>
            </c:strRef>
          </c:cat>
          <c:val>
            <c:numRef>
              <c:f>'1b) Kalkulačka - veřejné příjmy'!$E$72:$E$80</c:f>
              <c:numCache>
                <c:formatCode>#\ ##0.0</c:formatCode>
                <c:ptCount val="9"/>
                <c:pt idx="0">
                  <c:v>303.34957000000003</c:v>
                </c:pt>
                <c:pt idx="1">
                  <c:v>326.73877069235857</c:v>
                </c:pt>
                <c:pt idx="2">
                  <c:v>620.29658315125801</c:v>
                </c:pt>
                <c:pt idx="3">
                  <c:v>176.54550174899998</c:v>
                </c:pt>
                <c:pt idx="4">
                  <c:v>156.0695744073837</c:v>
                </c:pt>
                <c:pt idx="5">
                  <c:v>824.34263921500349</c:v>
                </c:pt>
                <c:pt idx="6">
                  <c:v>367.35448316630954</c:v>
                </c:pt>
                <c:pt idx="7">
                  <c:v>153.80000000000001</c:v>
                </c:pt>
                <c:pt idx="8">
                  <c:v>502.19097761868716</c:v>
                </c:pt>
              </c:numCache>
            </c:numRef>
          </c:val>
          <c:extLst>
            <c:ext xmlns:c16="http://schemas.microsoft.com/office/drawing/2014/chart" uri="{C3380CC4-5D6E-409C-BE32-E72D297353CC}">
              <c16:uniqueId val="{00000009-6B1C-4973-8F98-756EB49A41F9}"/>
            </c:ext>
          </c:extLst>
        </c:ser>
        <c:ser>
          <c:idx val="1"/>
          <c:order val="1"/>
          <c:tx>
            <c:strRef>
              <c:f>'1b) Kalkulačka - veřejné příjmy'!$F$71</c:f>
              <c:strCache>
                <c:ptCount val="1"/>
                <c:pt idx="0">
                  <c:v>Alternativní</c:v>
                </c:pt>
              </c:strCache>
            </c:strRef>
          </c:tx>
          <c:spPr>
            <a:solidFill>
              <a:srgbClr val="FF0000"/>
            </a:solidFill>
            <a:ln>
              <a:noFill/>
            </a:ln>
            <a:effectLst/>
          </c:spPr>
          <c:invertIfNegative val="0"/>
          <c:dLbls>
            <c:dLbl>
              <c:idx val="0"/>
              <c:layout>
                <c:manualLayout>
                  <c:x val="9.021198537969142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B1C-4973-8F98-756EB49A41F9}"/>
                </c:ext>
              </c:extLst>
            </c:dLbl>
            <c:dLbl>
              <c:idx val="1"/>
              <c:layout>
                <c:manualLayout>
                  <c:x val="7.216958830375327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B1C-4973-8F98-756EB49A41F9}"/>
                </c:ext>
              </c:extLst>
            </c:dLbl>
            <c:dLbl>
              <c:idx val="2"/>
              <c:layout>
                <c:manualLayout>
                  <c:x val="1.082543824556292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B1C-4973-8F98-756EB49A41F9}"/>
                </c:ext>
              </c:extLst>
            </c:dLbl>
            <c:dLbl>
              <c:idx val="3"/>
              <c:layout>
                <c:manualLayout>
                  <c:x val="3.6084794151876637E-3"/>
                  <c:y val="-9.548498848071497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B1C-4973-8F98-756EB49A41F9}"/>
                </c:ext>
              </c:extLst>
            </c:dLbl>
            <c:dLbl>
              <c:idx val="4"/>
              <c:layout>
                <c:manualLayout>
                  <c:x val="9.0211985379692258E-3"/>
                  <c:y val="-9.548498848071497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B1C-4973-8F98-756EB49A41F9}"/>
                </c:ext>
              </c:extLst>
            </c:dLbl>
            <c:dLbl>
              <c:idx val="5"/>
              <c:layout>
                <c:manualLayout>
                  <c:x val="7.216958830375327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B1C-4973-8F98-756EB49A41F9}"/>
                </c:ext>
              </c:extLst>
            </c:dLbl>
            <c:dLbl>
              <c:idx val="6"/>
              <c:layout>
                <c:manualLayout>
                  <c:x val="1.082543824556299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B1C-4973-8F98-756EB49A41F9}"/>
                </c:ext>
              </c:extLst>
            </c:dLbl>
            <c:dLbl>
              <c:idx val="7"/>
              <c:layout>
                <c:manualLayout>
                  <c:x val="7.2169588303751947E-3"/>
                  <c:y val="2.604166132675907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B1C-4973-8F98-756EB49A41F9}"/>
                </c:ext>
              </c:extLst>
            </c:dLbl>
            <c:dLbl>
              <c:idx val="8"/>
              <c:layout>
                <c:manualLayout>
                  <c:x val="7.216958830375327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B1C-4973-8F98-756EB49A41F9}"/>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'1b) Kalkulačka - veřejné příjmy'!$D$72:$D$80</c:f>
              <c:strCache>
                <c:ptCount val="9"/>
                <c:pt idx="0">
                  <c:v>DPPO</c:v>
                </c:pt>
                <c:pt idx="1">
                  <c:v>DPFO</c:v>
                </c:pt>
                <c:pt idx="2">
                  <c:v>DPH</c:v>
                </c:pt>
                <c:pt idx="3">
                  <c:v>Spotřební daně</c:v>
                </c:pt>
                <c:pt idx="4">
                  <c:v>Ostatní daně a poplatky</c:v>
                </c:pt>
                <c:pt idx="5">
                  <c:v>Pojistné na sociální zabezpečení</c:v>
                </c:pt>
                <c:pt idx="6">
                  <c:v>Zdravotní pojištění (zamětnanci, zaměstnavatelé, OSVČ)</c:v>
                </c:pt>
                <c:pt idx="7">
                  <c:v>Zdravotní pojištění (státní pojištěnci)</c:v>
                </c:pt>
                <c:pt idx="8">
                  <c:v>Ostatní příjmy</c:v>
                </c:pt>
              </c:strCache>
            </c:strRef>
          </c:cat>
          <c:val>
            <c:numRef>
              <c:f>'1b) Kalkulačka - veřejné příjmy'!$F$72:$F$80</c:f>
              <c:numCache>
                <c:formatCode>#\ ##0.0</c:formatCode>
                <c:ptCount val="9"/>
                <c:pt idx="0">
                  <c:v>303.34957000000003</c:v>
                </c:pt>
                <c:pt idx="1">
                  <c:v>326.73877069000002</c:v>
                </c:pt>
                <c:pt idx="2">
                  <c:v>620.29658315125801</c:v>
                </c:pt>
                <c:pt idx="3">
                  <c:v>176.54550174899998</c:v>
                </c:pt>
                <c:pt idx="4">
                  <c:v>156.0695744073837</c:v>
                </c:pt>
                <c:pt idx="5">
                  <c:v>824.34263921500349</c:v>
                </c:pt>
                <c:pt idx="6">
                  <c:v>367.35448316630931</c:v>
                </c:pt>
                <c:pt idx="7">
                  <c:v>153.80000000000001</c:v>
                </c:pt>
                <c:pt idx="8">
                  <c:v>502.19097761868716</c:v>
                </c:pt>
              </c:numCache>
            </c:numRef>
          </c:val>
          <c:extLst>
            <c:ext xmlns:c16="http://schemas.microsoft.com/office/drawing/2014/chart" uri="{C3380CC4-5D6E-409C-BE32-E72D297353CC}">
              <c16:uniqueId val="{00000013-6B1C-4973-8F98-756EB49A41F9}"/>
            </c:ext>
          </c:extLst>
        </c:ser>
        <c:dLbls>
          <c:dLblPos val="outEnd"/>
          <c:showLegendKey val="0"/>
          <c:showVal val="1"/>
          <c:showCatName val="0"/>
          <c:showSerName val="0"/>
          <c:showPercent val="0"/>
          <c:showBubbleSize val="0"/>
        </c:dLbls>
        <c:gapWidth val="219"/>
        <c:overlap val="-27"/>
        <c:axId val="667968576"/>
        <c:axId val="578571968"/>
      </c:barChart>
      <c:catAx>
        <c:axId val="66796857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5400000" vert="horz"/>
          <a:lstStyle/>
          <a:p>
            <a:pPr>
              <a:defRPr/>
            </a:pPr>
            <a:endParaRPr lang="cs-CZ"/>
          </a:p>
        </c:txPr>
        <c:crossAx val="578571968"/>
        <c:crosses val="autoZero"/>
        <c:auto val="1"/>
        <c:lblAlgn val="ctr"/>
        <c:lblOffset val="100"/>
        <c:noMultiLvlLbl val="0"/>
      </c:catAx>
      <c:valAx>
        <c:axId val="578571968"/>
        <c:scaling>
          <c:orientation val="minMax"/>
          <c:max val="1200"/>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cs-CZ" b="0"/>
                  <a:t>mld. Kč</a:t>
                </a:r>
              </a:p>
            </c:rich>
          </c:tx>
          <c:layout>
            <c:manualLayout>
              <c:xMode val="edge"/>
              <c:yMode val="edge"/>
              <c:x val="4.4736620781204539E-4"/>
              <c:y val="0.26193245880061616"/>
            </c:manualLayout>
          </c:layout>
          <c:overlay val="0"/>
        </c:title>
        <c:numFmt formatCode="#,##0" sourceLinked="0"/>
        <c:majorTickMark val="none"/>
        <c:minorTickMark val="none"/>
        <c:tickLblPos val="nextTo"/>
        <c:spPr>
          <a:noFill/>
          <a:ln>
            <a:solidFill>
              <a:schemeClr val="tx1"/>
            </a:solidFill>
          </a:ln>
          <a:effectLst/>
        </c:spPr>
        <c:txPr>
          <a:bodyPr rot="-60000000" vert="horz"/>
          <a:lstStyle/>
          <a:p>
            <a:pPr>
              <a:defRPr/>
            </a:pPr>
            <a:endParaRPr lang="cs-CZ"/>
          </a:p>
        </c:txPr>
        <c:crossAx val="667968576"/>
        <c:crosses val="autoZero"/>
        <c:crossBetween val="between"/>
      </c:valAx>
    </c:plotArea>
    <c:legend>
      <c:legendPos val="b"/>
      <c:layout>
        <c:manualLayout>
          <c:xMode val="edge"/>
          <c:yMode val="edge"/>
          <c:x val="0.11131093499963633"/>
          <c:y val="9.6118595207698998E-2"/>
          <c:w val="0.25414861479851614"/>
          <c:h val="4.3560397051442164E-2"/>
        </c:manualLayout>
      </c:layout>
      <c:overlay val="0"/>
      <c:spPr>
        <a:noFill/>
        <a:ln>
          <a:noFill/>
        </a:ln>
        <a:effectLst/>
      </c:spPr>
      <c:txPr>
        <a:bodyPr rot="0" vert="horz"/>
        <a:lstStyle/>
        <a:p>
          <a:pPr>
            <a:defRPr/>
          </a:pPr>
          <a:endParaRPr lang="cs-CZ"/>
        </a:p>
      </c:txPr>
    </c:legend>
    <c:plotVisOnly val="1"/>
    <c:dispBlanksAs val="gap"/>
    <c:showDLblsOverMax val="0"/>
    <c:extLst/>
  </c:chart>
  <c:spPr>
    <a:solidFill>
      <a:schemeClr val="bg1"/>
    </a:solidFill>
    <a:ln>
      <a:solidFill>
        <a:schemeClr val="tx1"/>
      </a:solidFill>
    </a:ln>
  </c:spPr>
  <c:txPr>
    <a:bodyPr/>
    <a:lstStyle/>
    <a:p>
      <a:pPr>
        <a:defRPr>
          <a:solidFill>
            <a:sysClr val="windowText" lastClr="000000"/>
          </a:solidFill>
          <a:latin typeface="Arial" panose="020B0604020202020204" pitchFamily="34" charset="0"/>
          <a:cs typeface="Arial" panose="020B0604020202020204" pitchFamily="34" charset="0"/>
        </a:defRPr>
      </a:pPr>
      <a:endParaRPr lang="cs-CZ"/>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cs-CZ" b="1"/>
              <a:t>Saldo VF 2025</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cs-CZ"/>
        </a:p>
      </c:txPr>
    </c:title>
    <c:autoTitleDeleted val="0"/>
    <c:plotArea>
      <c:layout>
        <c:manualLayout>
          <c:layoutTarget val="inner"/>
          <c:xMode val="edge"/>
          <c:yMode val="edge"/>
          <c:x val="9.8487069024280519E-2"/>
          <c:y val="0.16630060759667434"/>
          <c:w val="0.81344806705657269"/>
          <c:h val="0.73780866442645809"/>
        </c:manualLayout>
      </c:layout>
      <c:barChart>
        <c:barDir val="col"/>
        <c:grouping val="clustered"/>
        <c:varyColors val="0"/>
        <c:ser>
          <c:idx val="0"/>
          <c:order val="0"/>
          <c:tx>
            <c:strRef>
              <c:f>'1b) Kalkulačka - veřejné příjmy'!$D$92</c:f>
              <c:strCache>
                <c:ptCount val="1"/>
                <c:pt idx="0">
                  <c:v>Saldo VF 2025 (mld. Kč)</c:v>
                </c:pt>
              </c:strCache>
            </c:strRef>
          </c:tx>
          <c:spPr>
            <a:solidFill>
              <a:srgbClr val="0070C0"/>
            </a:solidFill>
            <a:ln>
              <a:noFill/>
            </a:ln>
            <a:effectLst/>
          </c:spPr>
          <c:invertIfNegative val="0"/>
          <c:dPt>
            <c:idx val="0"/>
            <c:invertIfNegative val="0"/>
            <c:bubble3D val="0"/>
            <c:spPr>
              <a:solidFill>
                <a:srgbClr val="0070C0"/>
              </a:solidFill>
              <a:ln>
                <a:noFill/>
              </a:ln>
              <a:effectLst/>
            </c:spPr>
            <c:extLst>
              <c:ext xmlns:c16="http://schemas.microsoft.com/office/drawing/2014/chart" uri="{C3380CC4-5D6E-409C-BE32-E72D297353CC}">
                <c16:uniqueId val="{00000001-81CC-47B8-9402-507C3C74E097}"/>
              </c:ext>
            </c:extLst>
          </c:dPt>
          <c:dPt>
            <c:idx val="1"/>
            <c:invertIfNegative val="0"/>
            <c:bubble3D val="0"/>
            <c:spPr>
              <a:solidFill>
                <a:srgbClr val="FF0000"/>
              </a:solidFill>
              <a:ln>
                <a:noFill/>
              </a:ln>
              <a:effectLst/>
            </c:spPr>
            <c:extLst>
              <c:ext xmlns:c16="http://schemas.microsoft.com/office/drawing/2014/chart" uri="{C3380CC4-5D6E-409C-BE32-E72D297353CC}">
                <c16:uniqueId val="{00000003-81CC-47B8-9402-507C3C74E097}"/>
              </c:ext>
            </c:extLst>
          </c:dPt>
          <c:dLbls>
            <c:dLbl>
              <c:idx val="0"/>
              <c:layout>
                <c:manualLayout>
                  <c:x val="-3.7059095250337446E-3"/>
                  <c:y val="-7.340112729900508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CC-47B8-9402-507C3C74E097}"/>
                </c:ext>
              </c:extLst>
            </c:dLbl>
            <c:dLbl>
              <c:idx val="1"/>
              <c:layout>
                <c:manualLayout>
                  <c:x val="7.4118190500672854E-3"/>
                  <c:y val="-7.3400891373550922E-2"/>
                </c:manualLayout>
              </c:layout>
              <c:numFmt formatCode="#,##0.0" sourceLinked="0"/>
              <c:spPr>
                <a:solidFill>
                  <a:schemeClr val="bg1"/>
                </a:solidFill>
                <a:ln>
                  <a:noFill/>
                </a:ln>
                <a:effectLst/>
              </c:spPr>
              <c:txPr>
                <a:bodyPr rot="0" spcFirstLastPara="1" vertOverflow="ellipsis" vert="horz" wrap="square" anchor="ctr" anchorCtr="1"/>
                <a:lstStyle/>
                <a:p>
                  <a:pPr>
                    <a:defRPr sz="1100" b="1" i="0" u="none" strike="noStrike" kern="1200" baseline="0">
                      <a:solidFill>
                        <a:srgbClr val="FF0000"/>
                      </a:solidFill>
                      <a:latin typeface="Arial" panose="020B0604020202020204" pitchFamily="34" charset="0"/>
                      <a:ea typeface="+mn-ea"/>
                      <a:cs typeface="Arial" panose="020B0604020202020204" pitchFamily="34" charset="0"/>
                    </a:defRPr>
                  </a:pPr>
                  <a:endParaRPr lang="cs-C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CC-47B8-9402-507C3C74E097}"/>
                </c:ext>
              </c:extLst>
            </c:dLbl>
            <c:numFmt formatCode="#,##0.0" sourceLinked="0"/>
            <c:spPr>
              <a:solidFill>
                <a:schemeClr val="bg1"/>
              </a:solidFill>
              <a:ln>
                <a:noFill/>
              </a:ln>
              <a:effectLst/>
            </c:spPr>
            <c:txPr>
              <a:bodyPr rot="0" spcFirstLastPara="1" vertOverflow="ellipsis" vert="horz" wrap="square" anchor="ctr" anchorCtr="1"/>
              <a:lstStyle/>
              <a:p>
                <a:pPr>
                  <a:defRPr sz="1100" b="1" i="0" u="none" strike="noStrike" kern="1200" baseline="0">
                    <a:solidFill>
                      <a:srgbClr val="0070C0"/>
                    </a:solidFill>
                    <a:latin typeface="Arial" panose="020B0604020202020204" pitchFamily="34" charset="0"/>
                    <a:ea typeface="+mn-ea"/>
                    <a:cs typeface="Arial" panose="020B0604020202020204" pitchFamily="34" charset="0"/>
                  </a:defRPr>
                </a:pPr>
                <a:endParaRPr lang="cs-C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strRef>
              <c:f>'1b) Kalkulačka - veřejné příjmy'!$E$91:$F$91</c:f>
              <c:strCache>
                <c:ptCount val="2"/>
                <c:pt idx="0">
                  <c:v>Plánované </c:v>
                </c:pt>
                <c:pt idx="1">
                  <c:v>Alternativní</c:v>
                </c:pt>
              </c:strCache>
            </c:strRef>
          </c:cat>
          <c:val>
            <c:numRef>
              <c:f>'1b) Kalkulačka - veřejné příjmy'!$E$92:$F$92</c:f>
              <c:numCache>
                <c:formatCode>0.00</c:formatCode>
                <c:ptCount val="2"/>
                <c:pt idx="0">
                  <c:v>-187</c:v>
                </c:pt>
                <c:pt idx="1">
                  <c:v>-187.00000000235787</c:v>
                </c:pt>
              </c:numCache>
            </c:numRef>
          </c:val>
          <c:extLst>
            <c:ext xmlns:c16="http://schemas.microsoft.com/office/drawing/2014/chart" uri="{C3380CC4-5D6E-409C-BE32-E72D297353CC}">
              <c16:uniqueId val="{00000004-81CC-47B8-9402-507C3C74E097}"/>
            </c:ext>
          </c:extLst>
        </c:ser>
        <c:dLbls>
          <c:showLegendKey val="0"/>
          <c:showVal val="0"/>
          <c:showCatName val="0"/>
          <c:showSerName val="0"/>
          <c:showPercent val="0"/>
          <c:showBubbleSize val="0"/>
        </c:dLbls>
        <c:gapWidth val="219"/>
        <c:axId val="699699104"/>
        <c:axId val="699701600"/>
      </c:barChart>
      <c:lineChart>
        <c:grouping val="standard"/>
        <c:varyColors val="0"/>
        <c:ser>
          <c:idx val="1"/>
          <c:order val="1"/>
          <c:tx>
            <c:strRef>
              <c:f>'1b) Kalkulačka - veřejné příjmy'!$D$93</c:f>
              <c:strCache>
                <c:ptCount val="1"/>
                <c:pt idx="0">
                  <c:v>Saldo VF 2025 (% HDP)</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dLbls>
            <c:dLbl>
              <c:idx val="0"/>
              <c:layout>
                <c:manualLayout>
                  <c:x val="-4.0765004775370817E-2"/>
                  <c:y val="6.5917571892973717E-2"/>
                </c:manualLayout>
              </c:layout>
              <c:numFmt formatCode="#,##0.0" sourceLinked="0"/>
              <c:spPr>
                <a:solidFill>
                  <a:schemeClr val="bg1"/>
                </a:solidFill>
                <a:ln>
                  <a:noFill/>
                </a:ln>
                <a:effectLst/>
              </c:spPr>
              <c:txPr>
                <a:bodyPr rot="0" spcFirstLastPara="1" vertOverflow="ellipsis" vert="horz" wrap="square" anchor="ctr" anchorCtr="1"/>
                <a:lstStyle/>
                <a:p>
                  <a:pPr>
                    <a:defRPr sz="1100" b="1" i="0" u="none" strike="noStrike" kern="1200" baseline="0">
                      <a:solidFill>
                        <a:srgbClr val="0070C0"/>
                      </a:solidFill>
                      <a:latin typeface="Arial" panose="020B0604020202020204" pitchFamily="34" charset="0"/>
                      <a:ea typeface="+mn-ea"/>
                      <a:cs typeface="Arial" panose="020B0604020202020204" pitchFamily="34" charset="0"/>
                    </a:defRPr>
                  </a:pPr>
                  <a:endParaRPr lang="cs-C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CC-47B8-9402-507C3C74E097}"/>
                </c:ext>
              </c:extLst>
            </c:dLbl>
            <c:dLbl>
              <c:idx val="1"/>
              <c:layout>
                <c:manualLayout>
                  <c:x val="-2.7794321437752831E-2"/>
                  <c:y val="6.89138251608361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CC-47B8-9402-507C3C74E097}"/>
                </c:ext>
              </c:extLst>
            </c:dLbl>
            <c:numFmt formatCode="#,##0.0" sourceLinked="0"/>
            <c:spPr>
              <a:solidFill>
                <a:schemeClr val="bg1"/>
              </a:solidFill>
              <a:ln>
                <a:noFill/>
              </a:ln>
              <a:effectLst/>
            </c:spPr>
            <c:txPr>
              <a:bodyPr rot="0" spcFirstLastPara="1" vertOverflow="ellipsis" vert="horz" wrap="square" anchor="ctr" anchorCtr="1"/>
              <a:lstStyle/>
              <a:p>
                <a:pPr>
                  <a:defRPr sz="1100" b="1" i="0" u="none" strike="noStrike" kern="1200" baseline="0">
                    <a:solidFill>
                      <a:srgbClr val="FF0000"/>
                    </a:solidFill>
                    <a:latin typeface="Arial" panose="020B0604020202020204" pitchFamily="34" charset="0"/>
                    <a:ea typeface="+mn-ea"/>
                    <a:cs typeface="Arial" panose="020B0604020202020204" pitchFamily="34" charset="0"/>
                  </a:defRPr>
                </a:pPr>
                <a:endParaRPr lang="cs-CZ"/>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strRef>
              <c:f>'1b) Kalkulačka - veřejné příjmy'!$E$91:$F$91</c:f>
              <c:strCache>
                <c:ptCount val="2"/>
                <c:pt idx="0">
                  <c:v>Plánované </c:v>
                </c:pt>
                <c:pt idx="1">
                  <c:v>Alternativní</c:v>
                </c:pt>
              </c:strCache>
            </c:strRef>
          </c:cat>
          <c:val>
            <c:numRef>
              <c:f>'1b) Kalkulačka - veřejné příjmy'!$E$93:$F$93</c:f>
              <c:numCache>
                <c:formatCode>0.00</c:formatCode>
                <c:ptCount val="2"/>
                <c:pt idx="0">
                  <c:v>-2.228603742927767</c:v>
                </c:pt>
                <c:pt idx="1">
                  <c:v>-2.2286037429558672</c:v>
                </c:pt>
              </c:numCache>
            </c:numRef>
          </c:val>
          <c:smooth val="0"/>
          <c:extLst>
            <c:ext xmlns:c16="http://schemas.microsoft.com/office/drawing/2014/chart" uri="{C3380CC4-5D6E-409C-BE32-E72D297353CC}">
              <c16:uniqueId val="{00000007-81CC-47B8-9402-507C3C74E097}"/>
            </c:ext>
          </c:extLst>
        </c:ser>
        <c:dLbls>
          <c:showLegendKey val="0"/>
          <c:showVal val="0"/>
          <c:showCatName val="0"/>
          <c:showSerName val="0"/>
          <c:showPercent val="0"/>
          <c:showBubbleSize val="0"/>
        </c:dLbls>
        <c:marker val="1"/>
        <c:smooth val="0"/>
        <c:axId val="577050368"/>
        <c:axId val="577052448"/>
      </c:lineChart>
      <c:catAx>
        <c:axId val="699699104"/>
        <c:scaling>
          <c:orientation val="minMax"/>
        </c:scaling>
        <c:delete val="0"/>
        <c:axPos val="b"/>
        <c:numFmt formatCode="General" sourceLinked="1"/>
        <c:majorTickMark val="none"/>
        <c:minorTickMark val="none"/>
        <c:tickLblPos val="high"/>
        <c:spPr>
          <a:noFill/>
          <a:ln w="9525" cap="flat" cmpd="sng" algn="ctr">
            <a:solidFill>
              <a:schemeClr val="tx1"/>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crossAx val="699701600"/>
        <c:crosses val="autoZero"/>
        <c:auto val="1"/>
        <c:lblAlgn val="ctr"/>
        <c:lblOffset val="100"/>
        <c:noMultiLvlLbl val="0"/>
      </c:catAx>
      <c:valAx>
        <c:axId val="699701600"/>
        <c:scaling>
          <c:orientation val="minMax"/>
          <c:max val="600"/>
          <c:min val="-6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cs-CZ"/>
                  <a:t>mld. Kč</a:t>
                </a:r>
              </a:p>
            </c:rich>
          </c:tx>
          <c:layout>
            <c:manualLayout>
              <c:xMode val="edge"/>
              <c:yMode val="edge"/>
              <c:x val="1.7886316023866978E-3"/>
              <c:y val="0.4926268672840052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title>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crossAx val="699699104"/>
        <c:crosses val="autoZero"/>
        <c:crossBetween val="between"/>
      </c:valAx>
      <c:valAx>
        <c:axId val="577052448"/>
        <c:scaling>
          <c:orientation val="minMax"/>
          <c:max val="9"/>
          <c:min val="-9"/>
        </c:scaling>
        <c:delete val="0"/>
        <c:axPos val="r"/>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cs-CZ"/>
                  <a:t>%</a:t>
                </a:r>
                <a:r>
                  <a:rPr lang="cs-CZ" baseline="0"/>
                  <a:t> HDP</a:t>
                </a:r>
                <a:endParaRPr lang="cs-CZ"/>
              </a:p>
            </c:rich>
          </c:tx>
          <c:layout>
            <c:manualLayout>
              <c:xMode val="edge"/>
              <c:yMode val="edge"/>
              <c:x val="0.97253559369788178"/>
              <c:y val="0.488463044247075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title>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crossAx val="577050368"/>
        <c:crosses val="max"/>
        <c:crossBetween val="between"/>
      </c:valAx>
      <c:catAx>
        <c:axId val="577050368"/>
        <c:scaling>
          <c:orientation val="minMax"/>
        </c:scaling>
        <c:delete val="1"/>
        <c:axPos val="b"/>
        <c:numFmt formatCode="General" sourceLinked="1"/>
        <c:majorTickMark val="out"/>
        <c:minorTickMark val="none"/>
        <c:tickLblPos val="nextTo"/>
        <c:crossAx val="577052448"/>
        <c:crosses val="autoZero"/>
        <c:auto val="1"/>
        <c:lblAlgn val="ctr"/>
        <c:lblOffset val="100"/>
        <c:noMultiLvlLbl val="0"/>
      </c:catAx>
      <c:spPr>
        <a:noFill/>
        <a:ln>
          <a:noFill/>
        </a:ln>
        <a:effectLst/>
      </c:spPr>
    </c:plotArea>
    <c:legend>
      <c:legendPos val="b"/>
      <c:legendEntry>
        <c:idx val="0"/>
        <c:delete val="1"/>
      </c:legendEntry>
      <c:layout>
        <c:manualLayout>
          <c:xMode val="edge"/>
          <c:yMode val="edge"/>
          <c:x val="1.464724264282123E-2"/>
          <c:y val="0.90561971345805869"/>
          <c:w val="0.98332851982894032"/>
          <c:h val="8.232788576614819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cs-CZ"/>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815340</xdr:colOff>
      <xdr:row>9</xdr:row>
      <xdr:rowOff>68365</xdr:rowOff>
    </xdr:to>
    <xdr:pic>
      <xdr:nvPicPr>
        <xdr:cNvPr id="3" name="Obrázek 2">
          <a:extLst>
            <a:ext uri="{FF2B5EF4-FFF2-40B4-BE49-F238E27FC236}">
              <a16:creationId xmlns:a16="http://schemas.microsoft.com/office/drawing/2014/main" id="{9736AD62-3CD2-4206-939D-0F2DE077361A}"/>
            </a:ext>
          </a:extLst>
        </xdr:cNvPr>
        <xdr:cNvPicPr>
          <a:picLocks noChangeAspect="1"/>
        </xdr:cNvPicPr>
      </xdr:nvPicPr>
      <xdr:blipFill>
        <a:blip xmlns:r="http://schemas.openxmlformats.org/officeDocument/2006/relationships" r:embed="rId1"/>
        <a:stretch>
          <a:fillRect/>
        </a:stretch>
      </xdr:blipFill>
      <xdr:spPr>
        <a:xfrm>
          <a:off x="0" y="1"/>
          <a:ext cx="1973580" cy="10970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243840</xdr:colOff>
      <xdr:row>0</xdr:row>
      <xdr:rowOff>152400</xdr:rowOff>
    </xdr:from>
    <xdr:to>
      <xdr:col>1</xdr:col>
      <xdr:colOff>3526157</xdr:colOff>
      <xdr:row>0</xdr:row>
      <xdr:rowOff>1980707</xdr:rowOff>
    </xdr:to>
    <xdr:pic>
      <xdr:nvPicPr>
        <xdr:cNvPr id="4" name="Obrázek 3">
          <a:extLst>
            <a:ext uri="{FF2B5EF4-FFF2-40B4-BE49-F238E27FC236}">
              <a16:creationId xmlns:a16="http://schemas.microsoft.com/office/drawing/2014/main" id="{506E2552-219E-4772-B2D0-07ED69A312AE}"/>
            </a:ext>
          </a:extLst>
        </xdr:cNvPr>
        <xdr:cNvPicPr>
          <a:picLocks noChangeAspect="1"/>
        </xdr:cNvPicPr>
      </xdr:nvPicPr>
      <xdr:blipFill>
        <a:blip xmlns:r="http://schemas.openxmlformats.org/officeDocument/2006/relationships" r:embed="rId1"/>
        <a:stretch>
          <a:fillRect/>
        </a:stretch>
      </xdr:blipFill>
      <xdr:spPr>
        <a:xfrm>
          <a:off x="518160" y="152400"/>
          <a:ext cx="3286127" cy="18283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4931</xdr:colOff>
      <xdr:row>1</xdr:row>
      <xdr:rowOff>4482</xdr:rowOff>
    </xdr:from>
    <xdr:to>
      <xdr:col>1</xdr:col>
      <xdr:colOff>3291058</xdr:colOff>
      <xdr:row>4</xdr:row>
      <xdr:rowOff>133528</xdr:rowOff>
    </xdr:to>
    <xdr:pic>
      <xdr:nvPicPr>
        <xdr:cNvPr id="4" name="Obrázek 3">
          <a:extLst>
            <a:ext uri="{FF2B5EF4-FFF2-40B4-BE49-F238E27FC236}">
              <a16:creationId xmlns:a16="http://schemas.microsoft.com/office/drawing/2014/main" id="{C9FCF14E-520D-45EA-A73D-0BFF9F9CCBEC}"/>
            </a:ext>
          </a:extLst>
        </xdr:cNvPr>
        <xdr:cNvPicPr>
          <a:picLocks noChangeAspect="1"/>
        </xdr:cNvPicPr>
      </xdr:nvPicPr>
      <xdr:blipFill>
        <a:blip xmlns:r="http://schemas.openxmlformats.org/officeDocument/2006/relationships" r:embed="rId1"/>
        <a:stretch>
          <a:fillRect/>
        </a:stretch>
      </xdr:blipFill>
      <xdr:spPr>
        <a:xfrm>
          <a:off x="282837" y="345141"/>
          <a:ext cx="3286127" cy="1839704"/>
        </a:xfrm>
        <a:prstGeom prst="rect">
          <a:avLst/>
        </a:prstGeom>
      </xdr:spPr>
    </xdr:pic>
    <xdr:clientData/>
  </xdr:twoCellAnchor>
  <xdr:twoCellAnchor editAs="oneCell">
    <xdr:from>
      <xdr:col>1</xdr:col>
      <xdr:colOff>4931</xdr:colOff>
      <xdr:row>1</xdr:row>
      <xdr:rowOff>4482</xdr:rowOff>
    </xdr:from>
    <xdr:to>
      <xdr:col>1</xdr:col>
      <xdr:colOff>3294868</xdr:colOff>
      <xdr:row>4</xdr:row>
      <xdr:rowOff>131255</xdr:rowOff>
    </xdr:to>
    <xdr:pic>
      <xdr:nvPicPr>
        <xdr:cNvPr id="3" name="Obrázek 2">
          <a:extLst>
            <a:ext uri="{FF2B5EF4-FFF2-40B4-BE49-F238E27FC236}">
              <a16:creationId xmlns:a16="http://schemas.microsoft.com/office/drawing/2014/main" id="{4B366556-1F74-4738-9F33-A95F80E6640C}"/>
            </a:ext>
          </a:extLst>
        </xdr:cNvPr>
        <xdr:cNvPicPr>
          <a:picLocks noChangeAspect="1"/>
        </xdr:cNvPicPr>
      </xdr:nvPicPr>
      <xdr:blipFill>
        <a:blip xmlns:r="http://schemas.openxmlformats.org/officeDocument/2006/relationships" r:embed="rId1"/>
        <a:stretch>
          <a:fillRect/>
        </a:stretch>
      </xdr:blipFill>
      <xdr:spPr>
        <a:xfrm>
          <a:off x="271631" y="347382"/>
          <a:ext cx="3289937" cy="184127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3286127</xdr:colOff>
      <xdr:row>0</xdr:row>
      <xdr:rowOff>0</xdr:rowOff>
    </xdr:to>
    <xdr:pic>
      <xdr:nvPicPr>
        <xdr:cNvPr id="6" name="Obrázek 5">
          <a:extLst>
            <a:ext uri="{FF2B5EF4-FFF2-40B4-BE49-F238E27FC236}">
              <a16:creationId xmlns:a16="http://schemas.microsoft.com/office/drawing/2014/main" id="{FD0693FF-F971-4DA6-872D-485733AA90F9}"/>
            </a:ext>
          </a:extLst>
        </xdr:cNvPr>
        <xdr:cNvPicPr>
          <a:picLocks noChangeAspect="1"/>
        </xdr:cNvPicPr>
      </xdr:nvPicPr>
      <xdr:blipFill>
        <a:blip xmlns:r="http://schemas.openxmlformats.org/officeDocument/2006/relationships" r:embed="rId1"/>
        <a:stretch>
          <a:fillRect/>
        </a:stretch>
      </xdr:blipFill>
      <xdr:spPr>
        <a:xfrm>
          <a:off x="281940" y="0"/>
          <a:ext cx="3286127" cy="1828307"/>
        </a:xfrm>
        <a:prstGeom prst="rect">
          <a:avLst/>
        </a:prstGeom>
      </xdr:spPr>
    </xdr:pic>
    <xdr:clientData/>
  </xdr:twoCellAnchor>
  <xdr:twoCellAnchor editAs="oneCell">
    <xdr:from>
      <xdr:col>1</xdr:col>
      <xdr:colOff>55419</xdr:colOff>
      <xdr:row>0</xdr:row>
      <xdr:rowOff>249382</xdr:rowOff>
    </xdr:from>
    <xdr:to>
      <xdr:col>1</xdr:col>
      <xdr:colOff>3341546</xdr:colOff>
      <xdr:row>0</xdr:row>
      <xdr:rowOff>2089086</xdr:rowOff>
    </xdr:to>
    <xdr:pic>
      <xdr:nvPicPr>
        <xdr:cNvPr id="3" name="Obrázek 2">
          <a:extLst>
            <a:ext uri="{FF2B5EF4-FFF2-40B4-BE49-F238E27FC236}">
              <a16:creationId xmlns:a16="http://schemas.microsoft.com/office/drawing/2014/main" id="{1E72BB5A-AC56-479F-9C64-363A1A44924B}"/>
            </a:ext>
          </a:extLst>
        </xdr:cNvPr>
        <xdr:cNvPicPr>
          <a:picLocks noChangeAspect="1"/>
        </xdr:cNvPicPr>
      </xdr:nvPicPr>
      <xdr:blipFill>
        <a:blip xmlns:r="http://schemas.openxmlformats.org/officeDocument/2006/relationships" r:embed="rId1"/>
        <a:stretch>
          <a:fillRect/>
        </a:stretch>
      </xdr:blipFill>
      <xdr:spPr>
        <a:xfrm>
          <a:off x="332510" y="249382"/>
          <a:ext cx="3286127" cy="18397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2242</xdr:colOff>
      <xdr:row>1</xdr:row>
      <xdr:rowOff>44824</xdr:rowOff>
    </xdr:from>
    <xdr:to>
      <xdr:col>1</xdr:col>
      <xdr:colOff>3288369</xdr:colOff>
      <xdr:row>4</xdr:row>
      <xdr:rowOff>346605</xdr:rowOff>
    </xdr:to>
    <xdr:pic>
      <xdr:nvPicPr>
        <xdr:cNvPr id="9" name="Obrázek 8">
          <a:extLst>
            <a:ext uri="{FF2B5EF4-FFF2-40B4-BE49-F238E27FC236}">
              <a16:creationId xmlns:a16="http://schemas.microsoft.com/office/drawing/2014/main" id="{4CF75877-6A8F-43E5-8D9C-119A87186666}"/>
            </a:ext>
          </a:extLst>
        </xdr:cNvPr>
        <xdr:cNvPicPr>
          <a:picLocks noChangeAspect="1"/>
        </xdr:cNvPicPr>
      </xdr:nvPicPr>
      <xdr:blipFill>
        <a:blip xmlns:r="http://schemas.openxmlformats.org/officeDocument/2006/relationships" r:embed="rId1"/>
        <a:stretch>
          <a:fillRect/>
        </a:stretch>
      </xdr:blipFill>
      <xdr:spPr>
        <a:xfrm>
          <a:off x="280148" y="385483"/>
          <a:ext cx="3286127" cy="1826677"/>
        </a:xfrm>
        <a:prstGeom prst="rect">
          <a:avLst/>
        </a:prstGeom>
      </xdr:spPr>
    </xdr:pic>
    <xdr:clientData/>
  </xdr:twoCellAnchor>
  <xdr:twoCellAnchor editAs="oneCell">
    <xdr:from>
      <xdr:col>1</xdr:col>
      <xdr:colOff>2242</xdr:colOff>
      <xdr:row>1</xdr:row>
      <xdr:rowOff>44824</xdr:rowOff>
    </xdr:from>
    <xdr:to>
      <xdr:col>1</xdr:col>
      <xdr:colOff>3288369</xdr:colOff>
      <xdr:row>4</xdr:row>
      <xdr:rowOff>329936</xdr:rowOff>
    </xdr:to>
    <xdr:pic>
      <xdr:nvPicPr>
        <xdr:cNvPr id="3" name="Obrázek 2">
          <a:extLst>
            <a:ext uri="{FF2B5EF4-FFF2-40B4-BE49-F238E27FC236}">
              <a16:creationId xmlns:a16="http://schemas.microsoft.com/office/drawing/2014/main" id="{DFFAD84E-F493-4131-940A-F8418D886ED0}"/>
            </a:ext>
          </a:extLst>
        </xdr:cNvPr>
        <xdr:cNvPicPr>
          <a:picLocks noChangeAspect="1"/>
        </xdr:cNvPicPr>
      </xdr:nvPicPr>
      <xdr:blipFill>
        <a:blip xmlns:r="http://schemas.openxmlformats.org/officeDocument/2006/relationships" r:embed="rId1"/>
        <a:stretch>
          <a:fillRect/>
        </a:stretch>
      </xdr:blipFill>
      <xdr:spPr>
        <a:xfrm>
          <a:off x="276562" y="387724"/>
          <a:ext cx="3286127" cy="1801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87284</xdr:colOff>
      <xdr:row>0</xdr:row>
      <xdr:rowOff>177338</xdr:rowOff>
    </xdr:from>
    <xdr:to>
      <xdr:col>1</xdr:col>
      <xdr:colOff>3363884</xdr:colOff>
      <xdr:row>0</xdr:row>
      <xdr:rowOff>1994850</xdr:rowOff>
    </xdr:to>
    <xdr:pic>
      <xdr:nvPicPr>
        <xdr:cNvPr id="6" name="Obrázek 5">
          <a:extLst>
            <a:ext uri="{FF2B5EF4-FFF2-40B4-BE49-F238E27FC236}">
              <a16:creationId xmlns:a16="http://schemas.microsoft.com/office/drawing/2014/main" id="{5FE193FE-FB38-48B8-8DE5-04456523DA4D}"/>
            </a:ext>
          </a:extLst>
        </xdr:cNvPr>
        <xdr:cNvPicPr>
          <a:picLocks noChangeAspect="1"/>
        </xdr:cNvPicPr>
      </xdr:nvPicPr>
      <xdr:blipFill>
        <a:blip xmlns:r="http://schemas.openxmlformats.org/officeDocument/2006/relationships" r:embed="rId1"/>
        <a:stretch>
          <a:fillRect/>
        </a:stretch>
      </xdr:blipFill>
      <xdr:spPr>
        <a:xfrm>
          <a:off x="336666" y="177338"/>
          <a:ext cx="3279371" cy="1817512"/>
        </a:xfrm>
        <a:prstGeom prst="rect">
          <a:avLst/>
        </a:prstGeom>
      </xdr:spPr>
    </xdr:pic>
    <xdr:clientData/>
  </xdr:twoCellAnchor>
  <xdr:twoCellAnchor>
    <xdr:from>
      <xdr:col>12</xdr:col>
      <xdr:colOff>325955</xdr:colOff>
      <xdr:row>20</xdr:row>
      <xdr:rowOff>279068</xdr:rowOff>
    </xdr:from>
    <xdr:to>
      <xdr:col>14</xdr:col>
      <xdr:colOff>618510</xdr:colOff>
      <xdr:row>35</xdr:row>
      <xdr:rowOff>203237</xdr:rowOff>
    </xdr:to>
    <xdr:graphicFrame macro="">
      <xdr:nvGraphicFramePr>
        <xdr:cNvPr id="5" name="Graf 4">
          <a:extLst>
            <a:ext uri="{FF2B5EF4-FFF2-40B4-BE49-F238E27FC236}">
              <a16:creationId xmlns:a16="http://schemas.microsoft.com/office/drawing/2014/main" id="{DA9A6A63-2C44-47E3-8502-AC13109D8F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312592</xdr:colOff>
      <xdr:row>5</xdr:row>
      <xdr:rowOff>154378</xdr:rowOff>
    </xdr:from>
    <xdr:to>
      <xdr:col>14</xdr:col>
      <xdr:colOff>621475</xdr:colOff>
      <xdr:row>19</xdr:row>
      <xdr:rowOff>180108</xdr:rowOff>
    </xdr:to>
    <xdr:graphicFrame macro="">
      <xdr:nvGraphicFramePr>
        <xdr:cNvPr id="7" name="Graf 6">
          <a:extLst>
            <a:ext uri="{FF2B5EF4-FFF2-40B4-BE49-F238E27FC236}">
              <a16:creationId xmlns:a16="http://schemas.microsoft.com/office/drawing/2014/main" id="{D40FBDFF-AC39-4F95-BCA4-E64A3F55B8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310064</xdr:colOff>
      <xdr:row>36</xdr:row>
      <xdr:rowOff>293915</xdr:rowOff>
    </xdr:from>
    <xdr:to>
      <xdr:col>14</xdr:col>
      <xdr:colOff>591732</xdr:colOff>
      <xdr:row>49</xdr:row>
      <xdr:rowOff>87085</xdr:rowOff>
    </xdr:to>
    <xdr:graphicFrame macro="">
      <xdr:nvGraphicFramePr>
        <xdr:cNvPr id="8" name="Graf 7">
          <a:extLst>
            <a:ext uri="{FF2B5EF4-FFF2-40B4-BE49-F238E27FC236}">
              <a16:creationId xmlns:a16="http://schemas.microsoft.com/office/drawing/2014/main" id="{E514706C-4F3A-4C27-814A-877AE940F6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87284</xdr:colOff>
      <xdr:row>0</xdr:row>
      <xdr:rowOff>177338</xdr:rowOff>
    </xdr:from>
    <xdr:to>
      <xdr:col>1</xdr:col>
      <xdr:colOff>3367150</xdr:colOff>
      <xdr:row>0</xdr:row>
      <xdr:rowOff>1994850</xdr:rowOff>
    </xdr:to>
    <xdr:pic>
      <xdr:nvPicPr>
        <xdr:cNvPr id="9" name="Obrázek 8">
          <a:extLst>
            <a:ext uri="{FF2B5EF4-FFF2-40B4-BE49-F238E27FC236}">
              <a16:creationId xmlns:a16="http://schemas.microsoft.com/office/drawing/2014/main" id="{152E619D-BA79-42C2-B040-2D1568236BAD}"/>
            </a:ext>
          </a:extLst>
        </xdr:cNvPr>
        <xdr:cNvPicPr>
          <a:picLocks noChangeAspect="1"/>
        </xdr:cNvPicPr>
      </xdr:nvPicPr>
      <xdr:blipFill>
        <a:blip xmlns:r="http://schemas.openxmlformats.org/officeDocument/2006/relationships" r:embed="rId1"/>
        <a:stretch>
          <a:fillRect/>
        </a:stretch>
      </xdr:blipFill>
      <xdr:spPr>
        <a:xfrm>
          <a:off x="338744" y="177338"/>
          <a:ext cx="3280559" cy="18175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8966</xdr:colOff>
      <xdr:row>1</xdr:row>
      <xdr:rowOff>35859</xdr:rowOff>
    </xdr:from>
    <xdr:to>
      <xdr:col>1</xdr:col>
      <xdr:colOff>3291918</xdr:colOff>
      <xdr:row>4</xdr:row>
      <xdr:rowOff>78098</xdr:rowOff>
    </xdr:to>
    <xdr:pic>
      <xdr:nvPicPr>
        <xdr:cNvPr id="3" name="Obrázek 2">
          <a:extLst>
            <a:ext uri="{FF2B5EF4-FFF2-40B4-BE49-F238E27FC236}">
              <a16:creationId xmlns:a16="http://schemas.microsoft.com/office/drawing/2014/main" id="{C59682E9-CD50-46F4-8CCA-6F9637BFE371}"/>
            </a:ext>
          </a:extLst>
        </xdr:cNvPr>
        <xdr:cNvPicPr>
          <a:picLocks noChangeAspect="1"/>
        </xdr:cNvPicPr>
      </xdr:nvPicPr>
      <xdr:blipFill>
        <a:blip xmlns:r="http://schemas.openxmlformats.org/officeDocument/2006/relationships" r:embed="rId1"/>
        <a:stretch>
          <a:fillRect/>
        </a:stretch>
      </xdr:blipFill>
      <xdr:spPr>
        <a:xfrm>
          <a:off x="286872" y="376518"/>
          <a:ext cx="3282952" cy="18238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180109</xdr:colOff>
      <xdr:row>0</xdr:row>
      <xdr:rowOff>166254</xdr:rowOff>
    </xdr:from>
    <xdr:to>
      <xdr:col>1</xdr:col>
      <xdr:colOff>3463061</xdr:colOff>
      <xdr:row>0</xdr:row>
      <xdr:rowOff>1990116</xdr:rowOff>
    </xdr:to>
    <xdr:pic>
      <xdr:nvPicPr>
        <xdr:cNvPr id="5" name="Obrázek 4">
          <a:extLst>
            <a:ext uri="{FF2B5EF4-FFF2-40B4-BE49-F238E27FC236}">
              <a16:creationId xmlns:a16="http://schemas.microsoft.com/office/drawing/2014/main" id="{7B8B08B4-1DD6-415E-90AB-3264D46387ED}"/>
            </a:ext>
          </a:extLst>
        </xdr:cNvPr>
        <xdr:cNvPicPr>
          <a:picLocks noChangeAspect="1"/>
        </xdr:cNvPicPr>
      </xdr:nvPicPr>
      <xdr:blipFill>
        <a:blip xmlns:r="http://schemas.openxmlformats.org/officeDocument/2006/relationships" r:embed="rId1"/>
        <a:stretch>
          <a:fillRect/>
        </a:stretch>
      </xdr:blipFill>
      <xdr:spPr>
        <a:xfrm>
          <a:off x="457200" y="166254"/>
          <a:ext cx="3282952" cy="1823862"/>
        </a:xfrm>
        <a:prstGeom prst="rect">
          <a:avLst/>
        </a:prstGeom>
      </xdr:spPr>
    </xdr:pic>
    <xdr:clientData/>
  </xdr:twoCellAnchor>
  <xdr:twoCellAnchor editAs="oneCell">
    <xdr:from>
      <xdr:col>1</xdr:col>
      <xdr:colOff>180109</xdr:colOff>
      <xdr:row>0</xdr:row>
      <xdr:rowOff>166254</xdr:rowOff>
    </xdr:from>
    <xdr:to>
      <xdr:col>1</xdr:col>
      <xdr:colOff>3463061</xdr:colOff>
      <xdr:row>0</xdr:row>
      <xdr:rowOff>1990116</xdr:rowOff>
    </xdr:to>
    <xdr:pic>
      <xdr:nvPicPr>
        <xdr:cNvPr id="2" name="Obrázek 1">
          <a:extLst>
            <a:ext uri="{FF2B5EF4-FFF2-40B4-BE49-F238E27FC236}">
              <a16:creationId xmlns:a16="http://schemas.microsoft.com/office/drawing/2014/main" id="{6E1FE39B-DEA6-4632-B6DC-4E4FB9E1965C}"/>
            </a:ext>
          </a:extLst>
        </xdr:cNvPr>
        <xdr:cNvPicPr>
          <a:picLocks noChangeAspect="1"/>
        </xdr:cNvPicPr>
      </xdr:nvPicPr>
      <xdr:blipFill>
        <a:blip xmlns:r="http://schemas.openxmlformats.org/officeDocument/2006/relationships" r:embed="rId1"/>
        <a:stretch>
          <a:fillRect/>
        </a:stretch>
      </xdr:blipFill>
      <xdr:spPr>
        <a:xfrm>
          <a:off x="462049" y="166254"/>
          <a:ext cx="3282952" cy="182386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27790</xdr:colOff>
      <xdr:row>1</xdr:row>
      <xdr:rowOff>50650</xdr:rowOff>
    </xdr:from>
    <xdr:to>
      <xdr:col>1</xdr:col>
      <xdr:colOff>3310742</xdr:colOff>
      <xdr:row>4</xdr:row>
      <xdr:rowOff>156762</xdr:rowOff>
    </xdr:to>
    <xdr:pic>
      <xdr:nvPicPr>
        <xdr:cNvPr id="4" name="Obrázek 3">
          <a:extLst>
            <a:ext uri="{FF2B5EF4-FFF2-40B4-BE49-F238E27FC236}">
              <a16:creationId xmlns:a16="http://schemas.microsoft.com/office/drawing/2014/main" id="{7D7C1263-A607-404E-A20A-76F1393BBDFB}"/>
            </a:ext>
          </a:extLst>
        </xdr:cNvPr>
        <xdr:cNvPicPr>
          <a:picLocks noChangeAspect="1"/>
        </xdr:cNvPicPr>
      </xdr:nvPicPr>
      <xdr:blipFill>
        <a:blip xmlns:r="http://schemas.openxmlformats.org/officeDocument/2006/relationships" r:embed="rId1"/>
        <a:stretch>
          <a:fillRect/>
        </a:stretch>
      </xdr:blipFill>
      <xdr:spPr>
        <a:xfrm>
          <a:off x="305696" y="391309"/>
          <a:ext cx="3282952" cy="18238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221672</xdr:colOff>
      <xdr:row>0</xdr:row>
      <xdr:rowOff>221673</xdr:rowOff>
    </xdr:from>
    <xdr:to>
      <xdr:col>1</xdr:col>
      <xdr:colOff>3551612</xdr:colOff>
      <xdr:row>0</xdr:row>
      <xdr:rowOff>2026968</xdr:rowOff>
    </xdr:to>
    <xdr:pic>
      <xdr:nvPicPr>
        <xdr:cNvPr id="3" name="Obrázek 2">
          <a:extLst>
            <a:ext uri="{FF2B5EF4-FFF2-40B4-BE49-F238E27FC236}">
              <a16:creationId xmlns:a16="http://schemas.microsoft.com/office/drawing/2014/main" id="{2DB16CB6-A12F-4FAF-9D60-94F09915159B}"/>
            </a:ext>
          </a:extLst>
        </xdr:cNvPr>
        <xdr:cNvPicPr>
          <a:picLocks noChangeAspect="1"/>
        </xdr:cNvPicPr>
      </xdr:nvPicPr>
      <xdr:blipFill>
        <a:blip xmlns:r="http://schemas.openxmlformats.org/officeDocument/2006/relationships" r:embed="rId1"/>
        <a:stretch>
          <a:fillRect/>
        </a:stretch>
      </xdr:blipFill>
      <xdr:spPr>
        <a:xfrm>
          <a:off x="498763" y="221673"/>
          <a:ext cx="3329940" cy="1805295"/>
        </a:xfrm>
        <a:prstGeom prst="rect">
          <a:avLst/>
        </a:prstGeom>
      </xdr:spPr>
    </xdr:pic>
    <xdr:clientData/>
  </xdr:twoCellAnchor>
  <xdr:twoCellAnchor editAs="oneCell">
    <xdr:from>
      <xdr:col>1</xdr:col>
      <xdr:colOff>221672</xdr:colOff>
      <xdr:row>0</xdr:row>
      <xdr:rowOff>221673</xdr:rowOff>
    </xdr:from>
    <xdr:to>
      <xdr:col>1</xdr:col>
      <xdr:colOff>3559232</xdr:colOff>
      <xdr:row>0</xdr:row>
      <xdr:rowOff>2034588</xdr:rowOff>
    </xdr:to>
    <xdr:pic>
      <xdr:nvPicPr>
        <xdr:cNvPr id="4" name="Obrázek 3">
          <a:extLst>
            <a:ext uri="{FF2B5EF4-FFF2-40B4-BE49-F238E27FC236}">
              <a16:creationId xmlns:a16="http://schemas.microsoft.com/office/drawing/2014/main" id="{E306A6CD-170C-4A0B-80D2-5CA028649057}"/>
            </a:ext>
          </a:extLst>
        </xdr:cNvPr>
        <xdr:cNvPicPr>
          <a:picLocks noChangeAspect="1"/>
        </xdr:cNvPicPr>
      </xdr:nvPicPr>
      <xdr:blipFill>
        <a:blip xmlns:r="http://schemas.openxmlformats.org/officeDocument/2006/relationships" r:embed="rId1"/>
        <a:stretch>
          <a:fillRect/>
        </a:stretch>
      </xdr:blipFill>
      <xdr:spPr>
        <a:xfrm>
          <a:off x="503612" y="221673"/>
          <a:ext cx="3337560" cy="18129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259976</xdr:colOff>
      <xdr:row>1</xdr:row>
      <xdr:rowOff>89647</xdr:rowOff>
    </xdr:from>
    <xdr:to>
      <xdr:col>1</xdr:col>
      <xdr:colOff>3257402</xdr:colOff>
      <xdr:row>3</xdr:row>
      <xdr:rowOff>847382</xdr:rowOff>
    </xdr:to>
    <xdr:pic>
      <xdr:nvPicPr>
        <xdr:cNvPr id="2" name="Obrázek 1">
          <a:extLst>
            <a:ext uri="{FF2B5EF4-FFF2-40B4-BE49-F238E27FC236}">
              <a16:creationId xmlns:a16="http://schemas.microsoft.com/office/drawing/2014/main" id="{1A4FCC9A-0945-4AFF-93C4-DEED29A08DB7}"/>
            </a:ext>
          </a:extLst>
        </xdr:cNvPr>
        <xdr:cNvPicPr>
          <a:picLocks noChangeAspect="1"/>
        </xdr:cNvPicPr>
      </xdr:nvPicPr>
      <xdr:blipFill>
        <a:blip xmlns:r="http://schemas.openxmlformats.org/officeDocument/2006/relationships" r:embed="rId1"/>
        <a:stretch>
          <a:fillRect/>
        </a:stretch>
      </xdr:blipFill>
      <xdr:spPr>
        <a:xfrm>
          <a:off x="259976" y="430306"/>
          <a:ext cx="3282952" cy="182386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190500</xdr:colOff>
      <xdr:row>0</xdr:row>
      <xdr:rowOff>152400</xdr:rowOff>
    </xdr:from>
    <xdr:to>
      <xdr:col>1</xdr:col>
      <xdr:colOff>3520440</xdr:colOff>
      <xdr:row>0</xdr:row>
      <xdr:rowOff>1957695</xdr:rowOff>
    </xdr:to>
    <xdr:pic>
      <xdr:nvPicPr>
        <xdr:cNvPr id="2" name="Obrázek 1">
          <a:extLst>
            <a:ext uri="{FF2B5EF4-FFF2-40B4-BE49-F238E27FC236}">
              <a16:creationId xmlns:a16="http://schemas.microsoft.com/office/drawing/2014/main" id="{97D06CA9-5FB0-429C-A061-07400B93E8BD}"/>
            </a:ext>
          </a:extLst>
        </xdr:cNvPr>
        <xdr:cNvPicPr>
          <a:picLocks noChangeAspect="1"/>
        </xdr:cNvPicPr>
      </xdr:nvPicPr>
      <xdr:blipFill>
        <a:blip xmlns:r="http://schemas.openxmlformats.org/officeDocument/2006/relationships" r:embed="rId1"/>
        <a:stretch>
          <a:fillRect/>
        </a:stretch>
      </xdr:blipFill>
      <xdr:spPr>
        <a:xfrm>
          <a:off x="468406" y="152400"/>
          <a:ext cx="3329940" cy="1805295"/>
        </a:xfrm>
        <a:prstGeom prst="rect">
          <a:avLst/>
        </a:prstGeom>
      </xdr:spPr>
    </xdr:pic>
    <xdr:clientData/>
  </xdr:twoCellAnchor>
  <xdr:twoCellAnchor editAs="oneCell">
    <xdr:from>
      <xdr:col>1</xdr:col>
      <xdr:colOff>152401</xdr:colOff>
      <xdr:row>0</xdr:row>
      <xdr:rowOff>318655</xdr:rowOff>
    </xdr:from>
    <xdr:to>
      <xdr:col>1</xdr:col>
      <xdr:colOff>3448688</xdr:colOff>
      <xdr:row>1</xdr:row>
      <xdr:rowOff>39051</xdr:rowOff>
    </xdr:to>
    <xdr:pic>
      <xdr:nvPicPr>
        <xdr:cNvPr id="3" name="Obrázek 2">
          <a:extLst>
            <a:ext uri="{FF2B5EF4-FFF2-40B4-BE49-F238E27FC236}">
              <a16:creationId xmlns:a16="http://schemas.microsoft.com/office/drawing/2014/main" id="{91D40E17-4455-4A59-9E8C-5C255C819751}"/>
            </a:ext>
          </a:extLst>
        </xdr:cNvPr>
        <xdr:cNvPicPr>
          <a:picLocks noChangeAspect="1"/>
        </xdr:cNvPicPr>
      </xdr:nvPicPr>
      <xdr:blipFill>
        <a:blip xmlns:r="http://schemas.openxmlformats.org/officeDocument/2006/relationships" r:embed="rId1"/>
        <a:stretch>
          <a:fillRect/>
        </a:stretch>
      </xdr:blipFill>
      <xdr:spPr>
        <a:xfrm>
          <a:off x="429492" y="318655"/>
          <a:ext cx="3296287" cy="1812432"/>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200AF-1F01-44DE-BF98-B0E4C58F20CA}">
  <sheetPr>
    <tabColor theme="1"/>
  </sheetPr>
  <dimension ref="C1:P34"/>
  <sheetViews>
    <sheetView showGridLines="0" tabSelected="1" topLeftCell="A26" zoomScaleNormal="100" workbookViewId="0">
      <selection activeCell="E26" sqref="E26:K26"/>
    </sheetView>
  </sheetViews>
  <sheetFormatPr defaultColWidth="8.85546875" defaultRowHeight="14.25" x14ac:dyDescent="0.2"/>
  <cols>
    <col min="1" max="1" width="8.140625" style="74" customWidth="1"/>
    <col min="2" max="2" width="8.7109375" style="74" customWidth="1"/>
    <col min="3" max="3" width="13.85546875" style="74" customWidth="1"/>
    <col min="4" max="4" width="3.28515625" style="74" customWidth="1"/>
    <col min="5" max="5" width="8.85546875" style="74" customWidth="1"/>
    <col min="6" max="6" width="8.85546875" style="74" bestFit="1" customWidth="1"/>
    <col min="7" max="7" width="8" style="74" customWidth="1"/>
    <col min="8" max="8" width="7.28515625" style="74" customWidth="1"/>
    <col min="9" max="10" width="8.85546875" style="74"/>
    <col min="11" max="11" width="13" style="74" customWidth="1"/>
    <col min="12" max="14" width="8.85546875" style="74"/>
    <col min="15" max="15" width="8.85546875" style="74" customWidth="1"/>
    <col min="16" max="16384" width="8.85546875" style="74"/>
  </cols>
  <sheetData>
    <row r="1" spans="3:16" ht="9" customHeight="1" x14ac:dyDescent="0.2">
      <c r="D1" s="658" t="s">
        <v>0</v>
      </c>
      <c r="E1" s="658"/>
      <c r="F1" s="658"/>
      <c r="G1" s="658"/>
      <c r="H1" s="658"/>
      <c r="I1" s="658"/>
      <c r="J1" s="658"/>
      <c r="K1" s="658"/>
      <c r="O1" s="377"/>
      <c r="P1" s="375"/>
    </row>
    <row r="2" spans="3:16" ht="9" customHeight="1" x14ac:dyDescent="0.2">
      <c r="D2" s="658"/>
      <c r="E2" s="658"/>
      <c r="F2" s="658"/>
      <c r="G2" s="658"/>
      <c r="H2" s="658"/>
      <c r="I2" s="658"/>
      <c r="J2" s="658"/>
      <c r="K2" s="658"/>
      <c r="O2" s="377"/>
      <c r="P2" s="375"/>
    </row>
    <row r="3" spans="3:16" ht="9" customHeight="1" x14ac:dyDescent="0.2">
      <c r="D3" s="658"/>
      <c r="E3" s="658"/>
      <c r="F3" s="658"/>
      <c r="G3" s="658"/>
      <c r="H3" s="658"/>
      <c r="I3" s="658"/>
      <c r="J3" s="658"/>
      <c r="K3" s="658"/>
      <c r="O3" s="377"/>
      <c r="P3" s="375"/>
    </row>
    <row r="4" spans="3:16" ht="9" customHeight="1" x14ac:dyDescent="0.2">
      <c r="D4" s="658"/>
      <c r="E4" s="658"/>
      <c r="F4" s="658"/>
      <c r="G4" s="658"/>
      <c r="H4" s="658"/>
      <c r="I4" s="658"/>
      <c r="J4" s="658"/>
      <c r="K4" s="658"/>
      <c r="O4" s="377"/>
      <c r="P4" s="375"/>
    </row>
    <row r="5" spans="3:16" ht="9" customHeight="1" x14ac:dyDescent="0.2">
      <c r="D5" s="658"/>
      <c r="E5" s="658"/>
      <c r="F5" s="658"/>
      <c r="G5" s="658"/>
      <c r="H5" s="658"/>
      <c r="I5" s="658"/>
      <c r="J5" s="658"/>
      <c r="K5" s="658"/>
      <c r="O5" s="377"/>
      <c r="P5" s="375"/>
    </row>
    <row r="6" spans="3:16" ht="9" customHeight="1" x14ac:dyDescent="0.2">
      <c r="D6" s="658"/>
      <c r="E6" s="658"/>
      <c r="F6" s="658"/>
      <c r="G6" s="658"/>
      <c r="H6" s="658"/>
      <c r="I6" s="658"/>
      <c r="J6" s="658"/>
      <c r="K6" s="658"/>
      <c r="O6" s="377"/>
      <c r="P6" s="375"/>
    </row>
    <row r="7" spans="3:16" ht="9" customHeight="1" x14ac:dyDescent="0.2">
      <c r="D7" s="658"/>
      <c r="E7" s="658"/>
      <c r="F7" s="658"/>
      <c r="G7" s="658"/>
      <c r="H7" s="658"/>
      <c r="I7" s="658"/>
      <c r="J7" s="658"/>
      <c r="K7" s="658"/>
      <c r="O7" s="377"/>
      <c r="P7" s="375"/>
    </row>
    <row r="8" spans="3:16" ht="9" customHeight="1" x14ac:dyDescent="0.2">
      <c r="D8" s="658"/>
      <c r="E8" s="658"/>
      <c r="F8" s="658"/>
      <c r="G8" s="658"/>
      <c r="H8" s="658"/>
      <c r="I8" s="658"/>
      <c r="J8" s="658"/>
      <c r="K8" s="658"/>
      <c r="O8" s="375"/>
      <c r="P8" s="375"/>
    </row>
    <row r="9" spans="3:16" ht="9" customHeight="1" x14ac:dyDescent="0.2">
      <c r="D9" s="658"/>
      <c r="E9" s="658"/>
      <c r="F9" s="658"/>
      <c r="G9" s="658"/>
      <c r="H9" s="658"/>
      <c r="I9" s="658"/>
      <c r="J9" s="658"/>
      <c r="K9" s="658"/>
    </row>
    <row r="10" spans="3:16" ht="24" customHeight="1" x14ac:dyDescent="0.25">
      <c r="C10" s="373"/>
      <c r="D10" s="658"/>
      <c r="E10" s="658"/>
      <c r="F10" s="658"/>
      <c r="G10" s="658"/>
      <c r="H10" s="658"/>
      <c r="I10" s="658"/>
      <c r="J10" s="658"/>
      <c r="K10" s="658"/>
    </row>
    <row r="11" spans="3:16" ht="24" customHeight="1" x14ac:dyDescent="0.25">
      <c r="C11" s="373"/>
      <c r="D11" s="659" t="s">
        <v>1</v>
      </c>
      <c r="E11" s="659"/>
      <c r="F11" s="659"/>
      <c r="G11" s="376"/>
      <c r="H11" s="376"/>
      <c r="I11" s="376"/>
      <c r="J11" s="376"/>
      <c r="K11" s="376"/>
    </row>
    <row r="12" spans="3:16" x14ac:dyDescent="0.2">
      <c r="E12" s="345"/>
      <c r="F12" s="345"/>
      <c r="G12" s="345"/>
      <c r="H12" s="345"/>
      <c r="I12" s="345"/>
      <c r="J12" s="345"/>
      <c r="K12" s="345"/>
    </row>
    <row r="13" spans="3:16" x14ac:dyDescent="0.2">
      <c r="D13" s="652" t="s">
        <v>2</v>
      </c>
      <c r="E13" s="656" t="s">
        <v>3</v>
      </c>
      <c r="F13" s="656"/>
      <c r="G13" s="656"/>
      <c r="H13" s="656"/>
      <c r="I13" s="656"/>
      <c r="J13" s="656"/>
      <c r="K13" s="657"/>
    </row>
    <row r="14" spans="3:16" x14ac:dyDescent="0.2">
      <c r="D14" s="653"/>
      <c r="E14" s="668" t="s">
        <v>356</v>
      </c>
      <c r="F14" s="668"/>
      <c r="G14" s="668"/>
      <c r="H14" s="668"/>
      <c r="I14" s="668"/>
      <c r="J14" s="668"/>
      <c r="K14" s="669"/>
    </row>
    <row r="15" spans="3:16" x14ac:dyDescent="0.2">
      <c r="E15" s="345"/>
      <c r="F15" s="345"/>
      <c r="G15" s="345"/>
      <c r="H15" s="345"/>
      <c r="I15" s="345"/>
      <c r="J15" s="345"/>
      <c r="K15" s="345"/>
    </row>
    <row r="16" spans="3:16" x14ac:dyDescent="0.2">
      <c r="D16" s="652" t="s">
        <v>4</v>
      </c>
      <c r="E16" s="678" t="s">
        <v>5</v>
      </c>
      <c r="F16" s="678"/>
      <c r="G16" s="678"/>
      <c r="H16" s="678"/>
      <c r="I16" s="678"/>
      <c r="J16" s="678"/>
      <c r="K16" s="679"/>
    </row>
    <row r="17" spans="4:12" x14ac:dyDescent="0.2">
      <c r="D17" s="653"/>
      <c r="E17" s="666" t="s">
        <v>357</v>
      </c>
      <c r="F17" s="666"/>
      <c r="G17" s="666"/>
      <c r="H17" s="666"/>
      <c r="I17" s="666"/>
      <c r="J17" s="666"/>
      <c r="K17" s="667"/>
    </row>
    <row r="18" spans="4:12" x14ac:dyDescent="0.2">
      <c r="E18" s="345"/>
      <c r="F18" s="345"/>
      <c r="G18" s="345"/>
      <c r="H18" s="345"/>
      <c r="I18" s="345"/>
      <c r="J18" s="345"/>
      <c r="K18" s="345"/>
    </row>
    <row r="19" spans="4:12" x14ac:dyDescent="0.2">
      <c r="D19" s="652" t="s">
        <v>6</v>
      </c>
      <c r="E19" s="676" t="s">
        <v>7</v>
      </c>
      <c r="F19" s="676"/>
      <c r="G19" s="676"/>
      <c r="H19" s="676"/>
      <c r="I19" s="676"/>
      <c r="J19" s="676"/>
      <c r="K19" s="677"/>
    </row>
    <row r="20" spans="4:12" x14ac:dyDescent="0.2">
      <c r="D20" s="653"/>
      <c r="E20" s="664" t="s">
        <v>358</v>
      </c>
      <c r="F20" s="664"/>
      <c r="G20" s="664"/>
      <c r="H20" s="664"/>
      <c r="I20" s="664"/>
      <c r="J20" s="664"/>
      <c r="K20" s="665"/>
    </row>
    <row r="21" spans="4:12" x14ac:dyDescent="0.2">
      <c r="E21" s="345"/>
      <c r="F21" s="345"/>
      <c r="G21" s="345"/>
      <c r="H21" s="345"/>
      <c r="I21" s="345"/>
      <c r="J21" s="345"/>
      <c r="K21" s="345"/>
    </row>
    <row r="22" spans="4:12" x14ac:dyDescent="0.2">
      <c r="D22" s="652" t="s">
        <v>8</v>
      </c>
      <c r="E22" s="674" t="s">
        <v>472</v>
      </c>
      <c r="F22" s="674"/>
      <c r="G22" s="674"/>
      <c r="H22" s="674"/>
      <c r="I22" s="674"/>
      <c r="J22" s="674"/>
      <c r="K22" s="675"/>
    </row>
    <row r="23" spans="4:12" x14ac:dyDescent="0.2">
      <c r="D23" s="654"/>
      <c r="E23" s="662" t="s">
        <v>359</v>
      </c>
      <c r="F23" s="662"/>
      <c r="G23" s="662"/>
      <c r="H23" s="662"/>
      <c r="I23" s="662"/>
      <c r="J23" s="662"/>
      <c r="K23" s="663"/>
    </row>
    <row r="24" spans="4:12" x14ac:dyDescent="0.2">
      <c r="D24" s="653"/>
      <c r="E24" s="672" t="s">
        <v>360</v>
      </c>
      <c r="F24" s="672"/>
      <c r="G24" s="672"/>
      <c r="H24" s="672"/>
      <c r="I24" s="672"/>
      <c r="J24" s="672"/>
      <c r="K24" s="673"/>
    </row>
    <row r="25" spans="4:12" x14ac:dyDescent="0.2">
      <c r="E25" s="345"/>
      <c r="F25" s="345"/>
      <c r="G25" s="345"/>
      <c r="H25" s="345"/>
      <c r="I25" s="345"/>
      <c r="J25" s="345"/>
      <c r="K25" s="345"/>
    </row>
    <row r="26" spans="4:12" x14ac:dyDescent="0.2">
      <c r="D26" s="652" t="s">
        <v>9</v>
      </c>
      <c r="E26" s="670" t="s">
        <v>10</v>
      </c>
      <c r="F26" s="670"/>
      <c r="G26" s="670"/>
      <c r="H26" s="670"/>
      <c r="I26" s="670"/>
      <c r="J26" s="670"/>
      <c r="K26" s="671"/>
    </row>
    <row r="27" spans="4:12" x14ac:dyDescent="0.2">
      <c r="D27" s="653"/>
      <c r="E27" s="660" t="s">
        <v>361</v>
      </c>
      <c r="F27" s="660"/>
      <c r="G27" s="660"/>
      <c r="H27" s="660"/>
      <c r="I27" s="660"/>
      <c r="J27" s="660"/>
      <c r="K27" s="661"/>
    </row>
    <row r="29" spans="4:12" ht="17.45" customHeight="1" x14ac:dyDescent="0.2">
      <c r="D29" s="388" t="s">
        <v>363</v>
      </c>
      <c r="E29" s="655" t="s">
        <v>364</v>
      </c>
      <c r="F29" s="655"/>
      <c r="G29" s="655"/>
      <c r="H29" s="655"/>
      <c r="I29" s="655"/>
      <c r="J29" s="655"/>
      <c r="K29" s="655"/>
      <c r="L29" s="387"/>
    </row>
    <row r="30" spans="4:12" ht="17.45" customHeight="1" x14ac:dyDescent="0.2">
      <c r="D30" s="388"/>
      <c r="E30" s="655"/>
      <c r="F30" s="655"/>
      <c r="G30" s="655"/>
      <c r="H30" s="655"/>
      <c r="I30" s="655"/>
      <c r="J30" s="655"/>
      <c r="K30" s="655"/>
      <c r="L30" s="387"/>
    </row>
    <row r="31" spans="4:12" ht="25.15" customHeight="1" x14ac:dyDescent="0.2">
      <c r="D31" s="390" t="s">
        <v>362</v>
      </c>
      <c r="E31" s="655" t="s">
        <v>371</v>
      </c>
      <c r="F31" s="655"/>
      <c r="G31" s="655"/>
      <c r="H31" s="655"/>
      <c r="I31" s="655"/>
      <c r="J31" s="655"/>
      <c r="K31" s="655"/>
    </row>
    <row r="32" spans="4:12" ht="20.45" customHeight="1" x14ac:dyDescent="0.2">
      <c r="D32" s="548"/>
      <c r="E32" s="655"/>
      <c r="F32" s="655"/>
      <c r="G32" s="655"/>
      <c r="H32" s="655"/>
      <c r="I32" s="655"/>
      <c r="J32" s="655"/>
      <c r="K32" s="655"/>
    </row>
    <row r="33" spans="5:11" x14ac:dyDescent="0.2">
      <c r="E33" s="655"/>
      <c r="F33" s="655"/>
      <c r="G33" s="655"/>
      <c r="H33" s="655"/>
      <c r="I33" s="655"/>
      <c r="J33" s="655"/>
      <c r="K33" s="655"/>
    </row>
    <row r="34" spans="5:11" x14ac:dyDescent="0.2">
      <c r="E34" s="655"/>
      <c r="F34" s="655"/>
      <c r="G34" s="655"/>
      <c r="H34" s="655"/>
      <c r="I34" s="655"/>
      <c r="J34" s="655"/>
      <c r="K34" s="655"/>
    </row>
  </sheetData>
  <sheetProtection algorithmName="SHA-512" hashValue="crqyxu8+zIyV29B+4hX5J5IUiEU3qFVbYKcSJJmvXPoXLaUj/hPpHcu2v4yumq2kKeuQNlE3U8zNljztIgfdcA==" saltValue="ORW/i1K72ddc87Fk+me5qA==" spinCount="100000" sheet="1" objects="1" scenarios="1"/>
  <mergeCells count="21">
    <mergeCell ref="E32:K34"/>
    <mergeCell ref="E13:K13"/>
    <mergeCell ref="E31:K31"/>
    <mergeCell ref="E29:K30"/>
    <mergeCell ref="D1:K10"/>
    <mergeCell ref="D11:F11"/>
    <mergeCell ref="E27:K27"/>
    <mergeCell ref="E23:K23"/>
    <mergeCell ref="E20:K20"/>
    <mergeCell ref="E17:K17"/>
    <mergeCell ref="E14:K14"/>
    <mergeCell ref="E26:K26"/>
    <mergeCell ref="E24:K24"/>
    <mergeCell ref="E22:K22"/>
    <mergeCell ref="E19:K19"/>
    <mergeCell ref="E16:K16"/>
    <mergeCell ref="D13:D14"/>
    <mergeCell ref="D16:D17"/>
    <mergeCell ref="D19:D20"/>
    <mergeCell ref="D22:D24"/>
    <mergeCell ref="D26:D27"/>
  </mergeCells>
  <hyperlinks>
    <hyperlink ref="E13:K13" location="'1a) Komentář - veřejné příjmy'!A1" display="a) Komentář ke kalkulačce veřejných příjmů" xr:uid="{0F64842E-93C8-42EB-9E26-9F65B12126B7}"/>
    <hyperlink ref="E14:K14" location="'1b) Kalkulačka - veřejné příjmy'!A1" display="b) Kalkulačka veřejných příjmů" xr:uid="{4FE262B6-092A-4183-9C90-08A0818E01C3}"/>
    <hyperlink ref="E16:K16" location="'2a) Komentář - výdaje SR '!A1" display="a) Komentář ve kalkulačce výdajů státního rozpočtu" xr:uid="{9D2A6894-EE9C-453A-A7D8-AFF022D48526}"/>
    <hyperlink ref="E17:K17" location="'2b) Kalkulačka - výdaje SR'!A1" display="b) Kalkulačka výdajů státního rozpočtu" xr:uid="{20969863-45FA-4E5F-8237-A82B470E6602}"/>
    <hyperlink ref="E19:K19" location="'3a) Komentář - státní fondy'!A1" display="a) Komentář ke kalkulačce výdajů státních fondů" xr:uid="{CDB88BB7-2055-4369-9FCA-2AB2ABECE4B5}"/>
    <hyperlink ref="E20:K20" location="'3b) Kalkulačka - státní fondy'!A1" display="b) Kalkulačka výdajů státních fondů" xr:uid="{BF0F2305-A989-48E2-900F-C549B7F255B7}"/>
    <hyperlink ref="E22:K22" location="'4a) Komentář - kraje a obce'!A1" display="a) Komentář ke kalkulačce výdajů krajů a obcí" xr:uid="{611D5D8E-7D54-4460-A2CE-FEC356F225DA}"/>
    <hyperlink ref="E23:K23" location="'4b) Kalkulačka - výdaje krajů'!A1" display="b) Kalkulačka výdajů krajů" xr:uid="{5F087676-F794-4D04-B6CB-4AA5FFCCB5B5}"/>
    <hyperlink ref="E24:K24" location="'4c) Kalkulačka - výdaje obcí'!A1" display="c) Kalkulačka výdajů obcí" xr:uid="{97B19467-D86D-47E4-A95E-4DE313C2E5CC}"/>
    <hyperlink ref="E26:K26" location="'5a) Komentář - zdr. poj.'!A1" display="a) Komentáře ke kalkulačce pro veřejné zdravotní pojišťovny" xr:uid="{46D2F37A-7A8E-4C7A-B3B0-D8B3855BC34D}"/>
    <hyperlink ref="E27:K27" location="'5b) Kalkulačka - zdr. poj.'!A1" display="b) Kalkulačka výdajů a příjmů veřejných zdravotních pojišťoven" xr:uid="{3C14F2CC-A896-4F89-96FD-E4A55529170C}"/>
  </hyperlinks>
  <pageMargins left="0.7" right="0.7" top="0.78740157499999996" bottom="0.78740157499999996"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EADE4-3F74-4031-8C62-1E2FA34BD3D1}">
  <sheetPr>
    <tabColor rgb="FF00B050"/>
    <pageSetUpPr fitToPage="1"/>
  </sheetPr>
  <dimension ref="B1:N124"/>
  <sheetViews>
    <sheetView zoomScale="55" zoomScaleNormal="55" workbookViewId="0">
      <selection activeCell="L41" sqref="L41"/>
    </sheetView>
  </sheetViews>
  <sheetFormatPr defaultColWidth="9.140625" defaultRowHeight="15" outlineLevelRow="1" x14ac:dyDescent="0.25"/>
  <cols>
    <col min="1" max="1" width="4.140625" style="189" customWidth="1"/>
    <col min="2" max="2" width="117" style="189" customWidth="1"/>
    <col min="3" max="3" width="24.140625" style="196" customWidth="1"/>
    <col min="4" max="4" width="27.7109375" style="193" customWidth="1"/>
    <col min="5" max="5" width="16" style="192" customWidth="1"/>
    <col min="6" max="6" width="23" style="193" customWidth="1"/>
    <col min="7" max="7" width="16.5703125" style="192" customWidth="1"/>
    <col min="8" max="8" width="7.42578125" style="189" customWidth="1"/>
    <col min="9" max="9" width="33.85546875" style="193" customWidth="1"/>
    <col min="10" max="10" width="20.7109375" style="194" customWidth="1"/>
    <col min="11" max="11" width="20.7109375" style="195" customWidth="1"/>
    <col min="12" max="12" width="20.7109375" style="192" customWidth="1"/>
    <col min="13" max="13" width="20.7109375" style="196" bestFit="1" customWidth="1"/>
    <col min="14" max="14" width="18" style="197" bestFit="1" customWidth="1"/>
    <col min="15" max="15" width="18.42578125" style="189" customWidth="1"/>
    <col min="16" max="16" width="63.28515625" style="189" customWidth="1"/>
    <col min="17" max="16384" width="9.140625" style="189"/>
  </cols>
  <sheetData>
    <row r="1" spans="2:14" ht="165" customHeight="1" x14ac:dyDescent="0.25">
      <c r="C1" s="710" t="s">
        <v>478</v>
      </c>
      <c r="D1" s="710"/>
      <c r="E1" s="710"/>
      <c r="F1" s="710"/>
      <c r="G1" s="710"/>
      <c r="H1" s="710"/>
      <c r="I1" s="710"/>
      <c r="J1" s="710"/>
      <c r="K1" s="710"/>
      <c r="L1" s="710"/>
      <c r="M1" s="710"/>
      <c r="N1" s="710"/>
    </row>
    <row r="2" spans="2:14" ht="16.5" thickBot="1" x14ac:dyDescent="0.3">
      <c r="C2" s="190"/>
      <c r="D2" s="191"/>
    </row>
    <row r="3" spans="2:14" ht="23.25" customHeight="1" x14ac:dyDescent="0.25">
      <c r="B3" s="701" t="s">
        <v>99</v>
      </c>
      <c r="C3" s="703" t="s">
        <v>384</v>
      </c>
      <c r="D3" s="704"/>
      <c r="E3" s="704"/>
      <c r="F3" s="704"/>
      <c r="G3" s="705"/>
      <c r="H3" s="198"/>
      <c r="I3" s="706" t="s">
        <v>100</v>
      </c>
      <c r="J3" s="704"/>
      <c r="K3" s="704"/>
      <c r="L3" s="704"/>
      <c r="M3" s="707"/>
      <c r="N3" s="708" t="s">
        <v>101</v>
      </c>
    </row>
    <row r="4" spans="2:14" ht="32.25" customHeight="1" thickBot="1" x14ac:dyDescent="0.3">
      <c r="B4" s="702"/>
      <c r="C4" s="199" t="s">
        <v>102</v>
      </c>
      <c r="D4" s="588" t="s">
        <v>103</v>
      </c>
      <c r="E4" s="588" t="s">
        <v>104</v>
      </c>
      <c r="F4" s="588" t="s">
        <v>105</v>
      </c>
      <c r="G4" s="286" t="s">
        <v>106</v>
      </c>
      <c r="H4" s="588"/>
      <c r="I4" s="589" t="s">
        <v>103</v>
      </c>
      <c r="J4" s="588" t="s">
        <v>104</v>
      </c>
      <c r="K4" s="588" t="s">
        <v>105</v>
      </c>
      <c r="L4" s="588" t="s">
        <v>106</v>
      </c>
      <c r="M4" s="590" t="s">
        <v>102</v>
      </c>
      <c r="N4" s="709"/>
    </row>
    <row r="5" spans="2:14" ht="27" customHeight="1" x14ac:dyDescent="0.25">
      <c r="B5" s="591" t="s">
        <v>107</v>
      </c>
      <c r="C5" s="592">
        <f>SUM(C6:C10)</f>
        <v>70.53300614278001</v>
      </c>
      <c r="D5" s="593"/>
      <c r="E5" s="594"/>
      <c r="F5" s="593"/>
      <c r="G5" s="595"/>
      <c r="H5" s="596"/>
      <c r="I5" s="597"/>
      <c r="J5" s="598"/>
      <c r="K5" s="599"/>
      <c r="L5" s="594"/>
      <c r="M5" s="600">
        <f>SUM(M6:M10)</f>
        <v>70.53300614278001</v>
      </c>
      <c r="N5" s="601">
        <f t="shared" ref="N5:N41" si="0">M5-C5</f>
        <v>0</v>
      </c>
    </row>
    <row r="6" spans="2:14" ht="27" customHeight="1" outlineLevel="1" x14ac:dyDescent="0.25">
      <c r="B6" s="200" t="s">
        <v>108</v>
      </c>
      <c r="C6" s="201">
        <v>42.34786536</v>
      </c>
      <c r="D6" s="648" t="s">
        <v>479</v>
      </c>
      <c r="E6" s="647">
        <f>78029-6646</f>
        <v>71383</v>
      </c>
      <c r="F6" s="651" t="s">
        <v>480</v>
      </c>
      <c r="G6" s="650">
        <f>IFERROR(C6*1000000000/E6/12,"")</f>
        <v>49437.383970973482</v>
      </c>
      <c r="I6" s="202" t="s">
        <v>489</v>
      </c>
      <c r="J6" s="203">
        <v>71383</v>
      </c>
      <c r="K6" s="195" t="s">
        <v>480</v>
      </c>
      <c r="L6" s="203">
        <v>49437.383970973482</v>
      </c>
      <c r="M6" s="204">
        <f>J6*L6*12/1000000000</f>
        <v>42.34786536</v>
      </c>
      <c r="N6" s="205">
        <f t="shared" si="0"/>
        <v>0</v>
      </c>
    </row>
    <row r="7" spans="2:14" ht="27" customHeight="1" outlineLevel="1" x14ac:dyDescent="0.25">
      <c r="B7" s="200" t="s">
        <v>286</v>
      </c>
      <c r="C7" s="201">
        <v>3.3358793279799999</v>
      </c>
      <c r="D7" s="649"/>
      <c r="E7" s="647"/>
      <c r="F7" s="651"/>
      <c r="G7" s="650"/>
      <c r="I7" s="202" t="s">
        <v>115</v>
      </c>
      <c r="J7" s="203">
        <v>0</v>
      </c>
      <c r="M7" s="204">
        <f>C7+J7/100*C7</f>
        <v>3.3358793279799999</v>
      </c>
      <c r="N7" s="205">
        <f t="shared" si="0"/>
        <v>0</v>
      </c>
    </row>
    <row r="8" spans="2:14" ht="27" customHeight="1" outlineLevel="1" x14ac:dyDescent="0.25">
      <c r="B8" s="200" t="s">
        <v>287</v>
      </c>
      <c r="C8" s="201">
        <v>7.7592742538500001</v>
      </c>
      <c r="D8" s="648" t="s">
        <v>490</v>
      </c>
      <c r="E8" s="647">
        <f>61796-675</f>
        <v>61121</v>
      </c>
      <c r="F8" s="651" t="s">
        <v>480</v>
      </c>
      <c r="G8" s="650">
        <f>IFERROR(C8*1000000000/E8/12,"")</f>
        <v>10579.116634558226</v>
      </c>
      <c r="I8" s="202" t="s">
        <v>489</v>
      </c>
      <c r="J8" s="203">
        <v>61121</v>
      </c>
      <c r="K8" s="195" t="s">
        <v>480</v>
      </c>
      <c r="L8" s="203">
        <v>10579.116634558226</v>
      </c>
      <c r="M8" s="204">
        <f>J8*L8*12/1000000000</f>
        <v>7.7592742538500001</v>
      </c>
      <c r="N8" s="205">
        <f t="shared" si="0"/>
        <v>0</v>
      </c>
    </row>
    <row r="9" spans="2:14" ht="27" customHeight="1" outlineLevel="1" x14ac:dyDescent="0.25">
      <c r="B9" s="200" t="s">
        <v>260</v>
      </c>
      <c r="C9" s="201">
        <v>16.68670430932</v>
      </c>
      <c r="F9" s="195"/>
      <c r="G9" s="206"/>
      <c r="I9" s="202" t="s">
        <v>115</v>
      </c>
      <c r="J9" s="203">
        <v>0</v>
      </c>
      <c r="M9" s="204">
        <f t="shared" ref="M9" si="1">C9+J9/100*C9</f>
        <v>16.68670430932</v>
      </c>
      <c r="N9" s="205">
        <f t="shared" si="0"/>
        <v>0</v>
      </c>
    </row>
    <row r="10" spans="2:14" ht="27" customHeight="1" outlineLevel="1" x14ac:dyDescent="0.25">
      <c r="B10" s="200" t="s">
        <v>117</v>
      </c>
      <c r="C10" s="201">
        <v>0.40328289162999997</v>
      </c>
      <c r="E10" s="196"/>
      <c r="G10" s="206"/>
      <c r="I10" s="202" t="s">
        <v>115</v>
      </c>
      <c r="J10" s="203">
        <v>0</v>
      </c>
      <c r="M10" s="204">
        <f>C10+J10/100*C10</f>
        <v>0.40328289162999997</v>
      </c>
      <c r="N10" s="205">
        <f t="shared" si="0"/>
        <v>0</v>
      </c>
    </row>
    <row r="11" spans="2:14" ht="27" customHeight="1" x14ac:dyDescent="0.25">
      <c r="B11" s="591" t="s">
        <v>118</v>
      </c>
      <c r="C11" s="592">
        <f>SUM(C12:C41)</f>
        <v>112.86828741780003</v>
      </c>
      <c r="D11" s="593"/>
      <c r="E11" s="593"/>
      <c r="F11" s="593"/>
      <c r="G11" s="595"/>
      <c r="H11" s="596"/>
      <c r="I11" s="597"/>
      <c r="J11" s="598"/>
      <c r="K11" s="599"/>
      <c r="L11" s="594"/>
      <c r="M11" s="605">
        <f>SUM(M12:M41)</f>
        <v>112.86828741780003</v>
      </c>
      <c r="N11" s="601">
        <f t="shared" si="0"/>
        <v>0</v>
      </c>
    </row>
    <row r="12" spans="2:14" ht="27" customHeight="1" outlineLevel="1" x14ac:dyDescent="0.25">
      <c r="B12" s="200" t="s">
        <v>125</v>
      </c>
      <c r="C12" s="201">
        <v>3.1761404657500001</v>
      </c>
      <c r="E12" s="368"/>
      <c r="G12" s="206"/>
      <c r="I12" s="202" t="s">
        <v>115</v>
      </c>
      <c r="J12" s="203">
        <v>0</v>
      </c>
      <c r="M12" s="204">
        <f>C12+J12/100*C12</f>
        <v>3.1761404657500001</v>
      </c>
      <c r="N12" s="205">
        <f t="shared" si="0"/>
        <v>0</v>
      </c>
    </row>
    <row r="13" spans="2:14" ht="27" customHeight="1" outlineLevel="1" x14ac:dyDescent="0.25">
      <c r="B13" s="200" t="s">
        <v>121</v>
      </c>
      <c r="C13" s="201">
        <v>4.0752984153699998</v>
      </c>
      <c r="G13" s="206"/>
      <c r="I13" s="202" t="s">
        <v>115</v>
      </c>
      <c r="J13" s="203">
        <v>0</v>
      </c>
      <c r="M13" s="204">
        <f t="shared" ref="M13:M41" si="2">C13+J13/100*C13</f>
        <v>4.0752984153699998</v>
      </c>
      <c r="N13" s="205">
        <f t="shared" si="0"/>
        <v>0</v>
      </c>
    </row>
    <row r="14" spans="2:14" ht="27" customHeight="1" outlineLevel="1" x14ac:dyDescent="0.25">
      <c r="B14" s="200" t="s">
        <v>288</v>
      </c>
      <c r="C14" s="201">
        <v>1.8475941892300001</v>
      </c>
      <c r="G14" s="206"/>
      <c r="I14" s="202" t="s">
        <v>115</v>
      </c>
      <c r="J14" s="203">
        <v>0</v>
      </c>
      <c r="M14" s="204">
        <f t="shared" si="2"/>
        <v>1.8475941892300001</v>
      </c>
      <c r="N14" s="205">
        <f t="shared" si="0"/>
        <v>0</v>
      </c>
    </row>
    <row r="15" spans="2:14" ht="27" customHeight="1" outlineLevel="1" x14ac:dyDescent="0.25">
      <c r="B15" s="200" t="s">
        <v>289</v>
      </c>
      <c r="C15" s="201">
        <v>2.29912781703</v>
      </c>
      <c r="G15" s="206"/>
      <c r="I15" s="202" t="s">
        <v>115</v>
      </c>
      <c r="J15" s="203">
        <v>0</v>
      </c>
      <c r="M15" s="204">
        <f t="shared" si="2"/>
        <v>2.29912781703</v>
      </c>
      <c r="N15" s="205">
        <f t="shared" si="0"/>
        <v>0</v>
      </c>
    </row>
    <row r="16" spans="2:14" ht="27" customHeight="1" outlineLevel="1" x14ac:dyDescent="0.25">
      <c r="B16" s="200" t="s">
        <v>290</v>
      </c>
      <c r="C16" s="201">
        <v>1.59627078797</v>
      </c>
      <c r="G16" s="206"/>
      <c r="I16" s="202" t="s">
        <v>115</v>
      </c>
      <c r="J16" s="203">
        <v>0</v>
      </c>
      <c r="M16" s="204">
        <f t="shared" si="2"/>
        <v>1.59627078797</v>
      </c>
      <c r="N16" s="205">
        <f t="shared" si="0"/>
        <v>0</v>
      </c>
    </row>
    <row r="17" spans="2:14" ht="27" customHeight="1" outlineLevel="1" x14ac:dyDescent="0.25">
      <c r="B17" s="200" t="s">
        <v>127</v>
      </c>
      <c r="C17" s="201">
        <v>6.35759709506</v>
      </c>
      <c r="D17" s="189"/>
      <c r="G17" s="206"/>
      <c r="I17" s="202" t="s">
        <v>115</v>
      </c>
      <c r="J17" s="203">
        <v>0</v>
      </c>
      <c r="M17" s="204">
        <f t="shared" si="2"/>
        <v>6.35759709506</v>
      </c>
      <c r="N17" s="205">
        <f t="shared" si="0"/>
        <v>0</v>
      </c>
    </row>
    <row r="18" spans="2:14" ht="27" customHeight="1" outlineLevel="1" x14ac:dyDescent="0.25">
      <c r="B18" s="200" t="s">
        <v>291</v>
      </c>
      <c r="C18" s="201">
        <v>1.4674769343</v>
      </c>
      <c r="G18" s="206"/>
      <c r="I18" s="202" t="s">
        <v>115</v>
      </c>
      <c r="J18" s="203">
        <v>0</v>
      </c>
      <c r="M18" s="204">
        <f t="shared" si="2"/>
        <v>1.4674769343</v>
      </c>
      <c r="N18" s="205">
        <f t="shared" si="0"/>
        <v>0</v>
      </c>
    </row>
    <row r="19" spans="2:14" ht="27" customHeight="1" outlineLevel="1" x14ac:dyDescent="0.25">
      <c r="B19" s="200" t="s">
        <v>123</v>
      </c>
      <c r="C19" s="201">
        <v>1.50872554047</v>
      </c>
      <c r="G19" s="206"/>
      <c r="I19" s="202" t="s">
        <v>115</v>
      </c>
      <c r="J19" s="203">
        <v>0</v>
      </c>
      <c r="M19" s="204">
        <f t="shared" si="2"/>
        <v>1.50872554047</v>
      </c>
      <c r="N19" s="205">
        <f t="shared" si="0"/>
        <v>0</v>
      </c>
    </row>
    <row r="20" spans="2:14" ht="27" customHeight="1" outlineLevel="1" x14ac:dyDescent="0.25">
      <c r="B20" s="200" t="s">
        <v>292</v>
      </c>
      <c r="C20" s="201">
        <v>1.39064999291</v>
      </c>
      <c r="G20" s="206"/>
      <c r="I20" s="202" t="s">
        <v>115</v>
      </c>
      <c r="J20" s="203">
        <v>0</v>
      </c>
      <c r="M20" s="204">
        <f t="shared" si="2"/>
        <v>1.39064999291</v>
      </c>
      <c r="N20" s="205">
        <f t="shared" si="0"/>
        <v>0</v>
      </c>
    </row>
    <row r="21" spans="2:14" ht="27" customHeight="1" outlineLevel="1" x14ac:dyDescent="0.25">
      <c r="B21" s="200" t="s">
        <v>119</v>
      </c>
      <c r="C21" s="201">
        <v>3.1066798036599996</v>
      </c>
      <c r="G21" s="206"/>
      <c r="I21" s="202" t="s">
        <v>115</v>
      </c>
      <c r="J21" s="203">
        <v>0</v>
      </c>
      <c r="M21" s="204">
        <f t="shared" si="2"/>
        <v>3.1066798036599996</v>
      </c>
      <c r="N21" s="205">
        <f t="shared" si="0"/>
        <v>0</v>
      </c>
    </row>
    <row r="22" spans="2:14" ht="27" customHeight="1" outlineLevel="1" x14ac:dyDescent="0.25">
      <c r="B22" s="200" t="s">
        <v>133</v>
      </c>
      <c r="C22" s="201"/>
      <c r="G22" s="206"/>
      <c r="I22" s="202"/>
      <c r="J22" s="389"/>
      <c r="M22" s="204"/>
      <c r="N22" s="205"/>
    </row>
    <row r="23" spans="2:14" ht="27" customHeight="1" outlineLevel="1" x14ac:dyDescent="0.25">
      <c r="B23" s="207" t="s">
        <v>181</v>
      </c>
      <c r="C23" s="201">
        <v>1.9985636950000001</v>
      </c>
      <c r="G23" s="206"/>
      <c r="I23" s="202" t="s">
        <v>115</v>
      </c>
      <c r="J23" s="203">
        <v>0</v>
      </c>
      <c r="M23" s="204">
        <f t="shared" ref="M23:M40" si="3">C23+J23/100*C23</f>
        <v>1.9985636950000001</v>
      </c>
      <c r="N23" s="205">
        <f t="shared" ref="N23:N40" si="4">M23-C23</f>
        <v>0</v>
      </c>
    </row>
    <row r="24" spans="2:14" ht="27" customHeight="1" outlineLevel="1" x14ac:dyDescent="0.25">
      <c r="B24" s="207" t="s">
        <v>176</v>
      </c>
      <c r="C24" s="201">
        <v>10.47121562569</v>
      </c>
      <c r="G24" s="206"/>
      <c r="I24" s="202" t="s">
        <v>115</v>
      </c>
      <c r="J24" s="203">
        <v>0</v>
      </c>
      <c r="M24" s="204">
        <f t="shared" si="3"/>
        <v>10.47121562569</v>
      </c>
      <c r="N24" s="205">
        <f t="shared" si="4"/>
        <v>0</v>
      </c>
    </row>
    <row r="25" spans="2:14" ht="27" customHeight="1" outlineLevel="1" x14ac:dyDescent="0.25">
      <c r="B25" s="207" t="s">
        <v>281</v>
      </c>
      <c r="C25" s="201">
        <v>1.4247717155199999</v>
      </c>
      <c r="G25" s="206"/>
      <c r="I25" s="202" t="s">
        <v>115</v>
      </c>
      <c r="J25" s="203">
        <v>0</v>
      </c>
      <c r="M25" s="204">
        <f t="shared" si="3"/>
        <v>1.4247717155199999</v>
      </c>
      <c r="N25" s="205">
        <f t="shared" si="4"/>
        <v>0</v>
      </c>
    </row>
    <row r="26" spans="2:14" ht="27" customHeight="1" outlineLevel="1" x14ac:dyDescent="0.25">
      <c r="B26" s="207" t="s">
        <v>184</v>
      </c>
      <c r="C26" s="201">
        <v>2.4923674977600001</v>
      </c>
      <c r="G26" s="206"/>
      <c r="I26" s="202" t="s">
        <v>115</v>
      </c>
      <c r="J26" s="203">
        <v>0</v>
      </c>
      <c r="M26" s="204">
        <f t="shared" si="3"/>
        <v>2.4923674977600001</v>
      </c>
      <c r="N26" s="205">
        <f t="shared" si="4"/>
        <v>0</v>
      </c>
    </row>
    <row r="27" spans="2:14" ht="27" customHeight="1" outlineLevel="1" x14ac:dyDescent="0.25">
      <c r="B27" s="207" t="s">
        <v>186</v>
      </c>
      <c r="C27" s="201">
        <v>1.07038049535</v>
      </c>
      <c r="G27" s="206"/>
      <c r="I27" s="202" t="s">
        <v>115</v>
      </c>
      <c r="J27" s="203">
        <v>0</v>
      </c>
      <c r="M27" s="204">
        <f t="shared" si="3"/>
        <v>1.07038049535</v>
      </c>
      <c r="N27" s="205">
        <f t="shared" si="4"/>
        <v>0</v>
      </c>
    </row>
    <row r="28" spans="2:14" ht="27" customHeight="1" outlineLevel="1" x14ac:dyDescent="0.25">
      <c r="B28" s="207" t="s">
        <v>293</v>
      </c>
      <c r="C28" s="201">
        <v>5.3154489253000001</v>
      </c>
      <c r="G28" s="206"/>
      <c r="I28" s="202" t="s">
        <v>115</v>
      </c>
      <c r="J28" s="203">
        <v>0</v>
      </c>
      <c r="M28" s="204">
        <f t="shared" si="3"/>
        <v>5.3154489253000001</v>
      </c>
      <c r="N28" s="205">
        <f t="shared" si="4"/>
        <v>0</v>
      </c>
    </row>
    <row r="29" spans="2:14" ht="27" customHeight="1" outlineLevel="1" x14ac:dyDescent="0.25">
      <c r="B29" s="207" t="s">
        <v>177</v>
      </c>
      <c r="C29" s="201">
        <v>23.317760423270002</v>
      </c>
      <c r="G29" s="206"/>
      <c r="I29" s="202" t="s">
        <v>115</v>
      </c>
      <c r="J29" s="203">
        <v>0</v>
      </c>
      <c r="M29" s="204">
        <f t="shared" si="3"/>
        <v>23.317760423270002</v>
      </c>
      <c r="N29" s="205">
        <f t="shared" si="4"/>
        <v>0</v>
      </c>
    </row>
    <row r="30" spans="2:14" ht="27" customHeight="1" outlineLevel="1" x14ac:dyDescent="0.25">
      <c r="B30" s="207" t="s">
        <v>294</v>
      </c>
      <c r="C30" s="201">
        <v>4.0403538515299999</v>
      </c>
      <c r="G30" s="206"/>
      <c r="I30" s="202" t="s">
        <v>115</v>
      </c>
      <c r="J30" s="203">
        <v>0</v>
      </c>
      <c r="M30" s="204">
        <f t="shared" si="3"/>
        <v>4.0403538515299999</v>
      </c>
      <c r="N30" s="205">
        <f t="shared" si="4"/>
        <v>0</v>
      </c>
    </row>
    <row r="31" spans="2:14" ht="27" customHeight="1" outlineLevel="1" x14ac:dyDescent="0.25">
      <c r="B31" s="207" t="s">
        <v>182</v>
      </c>
      <c r="C31" s="201">
        <v>2.8938291847300035</v>
      </c>
      <c r="G31" s="206"/>
      <c r="I31" s="202" t="s">
        <v>115</v>
      </c>
      <c r="J31" s="203">
        <v>0</v>
      </c>
      <c r="M31" s="204">
        <f t="shared" si="3"/>
        <v>2.8938291847300035</v>
      </c>
      <c r="N31" s="205">
        <f t="shared" si="4"/>
        <v>0</v>
      </c>
    </row>
    <row r="32" spans="2:14" ht="27" customHeight="1" outlineLevel="1" x14ac:dyDescent="0.25">
      <c r="B32" s="200" t="s">
        <v>122</v>
      </c>
      <c r="C32" s="201"/>
      <c r="G32" s="206"/>
      <c r="I32" s="202"/>
      <c r="J32" s="389"/>
      <c r="M32" s="204"/>
      <c r="N32" s="205"/>
    </row>
    <row r="33" spans="2:14" ht="27" customHeight="1" outlineLevel="1" x14ac:dyDescent="0.25">
      <c r="B33" s="207" t="s">
        <v>176</v>
      </c>
      <c r="C33" s="201">
        <v>10.278678434610001</v>
      </c>
      <c r="G33" s="206"/>
      <c r="I33" s="202" t="s">
        <v>115</v>
      </c>
      <c r="J33" s="203">
        <v>0</v>
      </c>
      <c r="M33" s="204">
        <f t="shared" si="3"/>
        <v>10.278678434610001</v>
      </c>
      <c r="N33" s="205">
        <f t="shared" si="4"/>
        <v>0</v>
      </c>
    </row>
    <row r="34" spans="2:14" ht="27" customHeight="1" outlineLevel="1" x14ac:dyDescent="0.25">
      <c r="B34" s="207" t="s">
        <v>281</v>
      </c>
      <c r="C34" s="201">
        <v>2.1103983621700002</v>
      </c>
      <c r="G34" s="206"/>
      <c r="I34" s="202" t="s">
        <v>115</v>
      </c>
      <c r="J34" s="203">
        <v>0</v>
      </c>
      <c r="M34" s="204">
        <f t="shared" si="3"/>
        <v>2.1103983621700002</v>
      </c>
      <c r="N34" s="205">
        <f t="shared" si="4"/>
        <v>0</v>
      </c>
    </row>
    <row r="35" spans="2:14" ht="27" customHeight="1" outlineLevel="1" x14ac:dyDescent="0.25">
      <c r="B35" s="207" t="s">
        <v>187</v>
      </c>
      <c r="C35" s="201">
        <v>2.17829509242</v>
      </c>
      <c r="G35" s="206"/>
      <c r="I35" s="202" t="s">
        <v>115</v>
      </c>
      <c r="J35" s="203">
        <v>0</v>
      </c>
      <c r="M35" s="204">
        <f t="shared" si="3"/>
        <v>2.17829509242</v>
      </c>
      <c r="N35" s="205">
        <f t="shared" si="4"/>
        <v>0</v>
      </c>
    </row>
    <row r="36" spans="2:14" ht="27" customHeight="1" outlineLevel="1" x14ac:dyDescent="0.25">
      <c r="B36" s="207" t="s">
        <v>184</v>
      </c>
      <c r="C36" s="201">
        <v>1.6724640828599999</v>
      </c>
      <c r="G36" s="206"/>
      <c r="I36" s="202" t="s">
        <v>115</v>
      </c>
      <c r="J36" s="203">
        <v>0</v>
      </c>
      <c r="M36" s="204">
        <f t="shared" si="3"/>
        <v>1.6724640828599999</v>
      </c>
      <c r="N36" s="205">
        <f t="shared" si="4"/>
        <v>0</v>
      </c>
    </row>
    <row r="37" spans="2:14" ht="27" customHeight="1" outlineLevel="1" x14ac:dyDescent="0.25">
      <c r="B37" s="207" t="s">
        <v>186</v>
      </c>
      <c r="C37" s="201">
        <v>0.99852404537999995</v>
      </c>
      <c r="G37" s="206"/>
      <c r="I37" s="202" t="s">
        <v>115</v>
      </c>
      <c r="J37" s="203">
        <v>0</v>
      </c>
      <c r="M37" s="204">
        <f t="shared" si="3"/>
        <v>0.99852404537999995</v>
      </c>
      <c r="N37" s="205">
        <f t="shared" si="4"/>
        <v>0</v>
      </c>
    </row>
    <row r="38" spans="2:14" ht="27" customHeight="1" outlineLevel="1" x14ac:dyDescent="0.25">
      <c r="B38" s="207" t="s">
        <v>293</v>
      </c>
      <c r="C38" s="201">
        <v>6.4176567278199999</v>
      </c>
      <c r="G38" s="206"/>
      <c r="I38" s="202" t="s">
        <v>115</v>
      </c>
      <c r="J38" s="203">
        <v>0</v>
      </c>
      <c r="M38" s="204">
        <f t="shared" si="3"/>
        <v>6.4176567278199999</v>
      </c>
      <c r="N38" s="205">
        <f t="shared" si="4"/>
        <v>0</v>
      </c>
    </row>
    <row r="39" spans="2:14" ht="27" customHeight="1" outlineLevel="1" x14ac:dyDescent="0.25">
      <c r="B39" s="207" t="s">
        <v>294</v>
      </c>
      <c r="C39" s="201">
        <v>1.2538339870599999</v>
      </c>
      <c r="G39" s="206"/>
      <c r="I39" s="202" t="s">
        <v>115</v>
      </c>
      <c r="J39" s="203">
        <v>0</v>
      </c>
      <c r="M39" s="204">
        <f t="shared" si="3"/>
        <v>1.2538339870599999</v>
      </c>
      <c r="N39" s="205">
        <f t="shared" si="4"/>
        <v>0</v>
      </c>
    </row>
    <row r="40" spans="2:14" ht="27" customHeight="1" outlineLevel="1" x14ac:dyDescent="0.25">
      <c r="B40" s="207" t="s">
        <v>182</v>
      </c>
      <c r="C40" s="201">
        <v>2.0362867603999977</v>
      </c>
      <c r="G40" s="206"/>
      <c r="I40" s="202" t="s">
        <v>115</v>
      </c>
      <c r="J40" s="203">
        <v>0</v>
      </c>
      <c r="M40" s="204">
        <f t="shared" si="3"/>
        <v>2.0362867603999977</v>
      </c>
      <c r="N40" s="205">
        <f t="shared" si="4"/>
        <v>0</v>
      </c>
    </row>
    <row r="41" spans="2:14" ht="27" customHeight="1" outlineLevel="1" x14ac:dyDescent="0.25">
      <c r="B41" s="200" t="s">
        <v>134</v>
      </c>
      <c r="C41" s="201">
        <v>6.0718974691799996</v>
      </c>
      <c r="G41" s="206"/>
      <c r="I41" s="202" t="s">
        <v>115</v>
      </c>
      <c r="J41" s="203">
        <v>0</v>
      </c>
      <c r="M41" s="204">
        <f t="shared" si="2"/>
        <v>6.0718974691799996</v>
      </c>
      <c r="N41" s="205">
        <f t="shared" si="0"/>
        <v>0</v>
      </c>
    </row>
    <row r="42" spans="2:14" ht="27" customHeight="1" x14ac:dyDescent="0.25">
      <c r="B42" s="591" t="s">
        <v>174</v>
      </c>
      <c r="C42" s="592">
        <f>SUM(C43:C72)</f>
        <v>147.98348389192995</v>
      </c>
      <c r="D42" s="593"/>
      <c r="E42" s="593"/>
      <c r="F42" s="593"/>
      <c r="G42" s="595"/>
      <c r="H42" s="596"/>
      <c r="I42" s="597"/>
      <c r="J42" s="598"/>
      <c r="K42" s="599"/>
      <c r="L42" s="594"/>
      <c r="M42" s="605">
        <f>SUM(M43:M72)</f>
        <v>147.98348389192995</v>
      </c>
      <c r="N42" s="601">
        <f>M42-C42</f>
        <v>0</v>
      </c>
    </row>
    <row r="43" spans="2:14" ht="27" customHeight="1" outlineLevel="1" x14ac:dyDescent="0.25">
      <c r="B43" s="200" t="s">
        <v>261</v>
      </c>
      <c r="C43" s="201"/>
      <c r="G43" s="206"/>
      <c r="I43" s="202"/>
      <c r="M43" s="204"/>
      <c r="N43" s="205"/>
    </row>
    <row r="44" spans="2:14" ht="27" customHeight="1" outlineLevel="1" x14ac:dyDescent="0.25">
      <c r="B44" s="207" t="s">
        <v>176</v>
      </c>
      <c r="C44" s="201">
        <v>33.534954692520003</v>
      </c>
      <c r="G44" s="206"/>
      <c r="I44" s="202" t="s">
        <v>115</v>
      </c>
      <c r="J44" s="203">
        <v>0</v>
      </c>
      <c r="M44" s="204">
        <f t="shared" ref="M44:M47" si="5">C44+J44/100*C44</f>
        <v>33.534954692520003</v>
      </c>
      <c r="N44" s="205">
        <f t="shared" ref="N44:N47" si="6">M44-C44</f>
        <v>0</v>
      </c>
    </row>
    <row r="45" spans="2:14" ht="27" customHeight="1" outlineLevel="1" x14ac:dyDescent="0.25">
      <c r="B45" s="207" t="s">
        <v>187</v>
      </c>
      <c r="C45" s="201">
        <v>3.31380576937</v>
      </c>
      <c r="E45" s="365"/>
      <c r="G45" s="206"/>
      <c r="I45" s="202" t="s">
        <v>115</v>
      </c>
      <c r="J45" s="203">
        <v>0</v>
      </c>
      <c r="M45" s="204">
        <f t="shared" si="5"/>
        <v>3.31380576937</v>
      </c>
      <c r="N45" s="205">
        <f t="shared" si="6"/>
        <v>0</v>
      </c>
    </row>
    <row r="46" spans="2:14" ht="27" customHeight="1" outlineLevel="1" x14ac:dyDescent="0.25">
      <c r="B46" s="207" t="s">
        <v>186</v>
      </c>
      <c r="C46" s="201">
        <v>2.4785458832299998</v>
      </c>
      <c r="G46" s="206"/>
      <c r="I46" s="202" t="s">
        <v>115</v>
      </c>
      <c r="J46" s="203">
        <v>0</v>
      </c>
      <c r="M46" s="204">
        <f t="shared" si="5"/>
        <v>2.4785458832299998</v>
      </c>
      <c r="N46" s="205">
        <f t="shared" si="6"/>
        <v>0</v>
      </c>
    </row>
    <row r="47" spans="2:14" ht="27" customHeight="1" outlineLevel="1" x14ac:dyDescent="0.25">
      <c r="B47" s="207" t="s">
        <v>182</v>
      </c>
      <c r="C47" s="201">
        <v>1.5472383349399983</v>
      </c>
      <c r="G47" s="206"/>
      <c r="I47" s="202" t="s">
        <v>115</v>
      </c>
      <c r="J47" s="203">
        <v>0</v>
      </c>
      <c r="M47" s="204">
        <f t="shared" si="5"/>
        <v>1.5472383349399983</v>
      </c>
      <c r="N47" s="205">
        <f t="shared" si="6"/>
        <v>0</v>
      </c>
    </row>
    <row r="48" spans="2:14" ht="27" customHeight="1" outlineLevel="1" x14ac:dyDescent="0.25">
      <c r="B48" s="200" t="s">
        <v>262</v>
      </c>
      <c r="C48" s="201"/>
      <c r="G48" s="206"/>
      <c r="I48" s="202"/>
      <c r="J48" s="389"/>
      <c r="M48" s="204"/>
      <c r="N48" s="205"/>
    </row>
    <row r="49" spans="2:14" ht="27" customHeight="1" outlineLevel="1" x14ac:dyDescent="0.25">
      <c r="B49" s="207" t="s">
        <v>187</v>
      </c>
      <c r="C49" s="201">
        <v>0.67592432832999993</v>
      </c>
      <c r="G49" s="206"/>
      <c r="I49" s="202" t="s">
        <v>115</v>
      </c>
      <c r="J49" s="203">
        <v>0</v>
      </c>
      <c r="M49" s="204">
        <f t="shared" ref="M49:M72" si="7">C49+J49/100*C49</f>
        <v>0.67592432832999993</v>
      </c>
      <c r="N49" s="205">
        <f t="shared" ref="N49:N74" si="8">M49-C49</f>
        <v>0</v>
      </c>
    </row>
    <row r="50" spans="2:14" ht="27" customHeight="1" outlineLevel="1" x14ac:dyDescent="0.25">
      <c r="B50" s="207" t="s">
        <v>184</v>
      </c>
      <c r="C50" s="201">
        <v>1.49534434937</v>
      </c>
      <c r="D50" s="366"/>
      <c r="G50" s="206"/>
      <c r="I50" s="202" t="s">
        <v>115</v>
      </c>
      <c r="J50" s="203">
        <v>0</v>
      </c>
      <c r="M50" s="204">
        <f t="shared" si="7"/>
        <v>1.49534434937</v>
      </c>
      <c r="N50" s="205">
        <f t="shared" si="8"/>
        <v>0</v>
      </c>
    </row>
    <row r="51" spans="2:14" ht="27" customHeight="1" outlineLevel="1" x14ac:dyDescent="0.25">
      <c r="B51" s="207" t="s">
        <v>186</v>
      </c>
      <c r="C51" s="201">
        <v>4.4480746399099997</v>
      </c>
      <c r="D51" s="189"/>
      <c r="G51" s="206"/>
      <c r="I51" s="202" t="s">
        <v>115</v>
      </c>
      <c r="J51" s="203">
        <v>0</v>
      </c>
      <c r="M51" s="204">
        <f t="shared" si="7"/>
        <v>4.4480746399099997</v>
      </c>
      <c r="N51" s="205">
        <f t="shared" si="8"/>
        <v>0</v>
      </c>
    </row>
    <row r="52" spans="2:14" ht="27" customHeight="1" outlineLevel="1" x14ac:dyDescent="0.25">
      <c r="B52" s="207" t="s">
        <v>185</v>
      </c>
      <c r="C52" s="201">
        <v>3.4872409183499995</v>
      </c>
      <c r="G52" s="206"/>
      <c r="I52" s="202" t="s">
        <v>115</v>
      </c>
      <c r="J52" s="203">
        <v>0</v>
      </c>
      <c r="M52" s="204">
        <f t="shared" si="7"/>
        <v>3.4872409183499995</v>
      </c>
      <c r="N52" s="205">
        <f t="shared" si="8"/>
        <v>0</v>
      </c>
    </row>
    <row r="53" spans="2:14" ht="27" customHeight="1" outlineLevel="1" x14ac:dyDescent="0.25">
      <c r="B53" s="207" t="s">
        <v>182</v>
      </c>
      <c r="C53" s="201">
        <v>1.2614546307800008</v>
      </c>
      <c r="G53" s="206"/>
      <c r="I53" s="202" t="s">
        <v>115</v>
      </c>
      <c r="J53" s="203">
        <v>0</v>
      </c>
      <c r="M53" s="204">
        <f t="shared" si="7"/>
        <v>1.2614546307800008</v>
      </c>
      <c r="N53" s="205">
        <f t="shared" si="8"/>
        <v>0</v>
      </c>
    </row>
    <row r="54" spans="2:14" ht="27" customHeight="1" outlineLevel="1" x14ac:dyDescent="0.25">
      <c r="B54" s="200" t="s">
        <v>263</v>
      </c>
      <c r="C54" s="201">
        <v>2.0681328148200002</v>
      </c>
      <c r="G54" s="206"/>
      <c r="I54" s="202" t="s">
        <v>115</v>
      </c>
      <c r="J54" s="203">
        <v>0</v>
      </c>
      <c r="M54" s="204">
        <f t="shared" si="7"/>
        <v>2.0681328148200002</v>
      </c>
      <c r="N54" s="205">
        <f t="shared" si="8"/>
        <v>0</v>
      </c>
    </row>
    <row r="55" spans="2:14" ht="27" customHeight="1" outlineLevel="1" x14ac:dyDescent="0.25">
      <c r="B55" s="200" t="s">
        <v>264</v>
      </c>
      <c r="C55" s="201"/>
      <c r="D55" s="189"/>
      <c r="G55" s="206"/>
      <c r="I55" s="202"/>
      <c r="J55" s="389"/>
      <c r="M55" s="204"/>
      <c r="N55" s="205"/>
    </row>
    <row r="56" spans="2:14" ht="27" customHeight="1" outlineLevel="1" x14ac:dyDescent="0.25">
      <c r="B56" s="207" t="s">
        <v>187</v>
      </c>
      <c r="C56" s="201"/>
      <c r="D56" s="189"/>
      <c r="G56" s="206"/>
      <c r="I56" s="202"/>
      <c r="J56" s="389"/>
      <c r="M56" s="204"/>
      <c r="N56" s="205"/>
    </row>
    <row r="57" spans="2:14" ht="27" customHeight="1" outlineLevel="1" x14ac:dyDescent="0.25">
      <c r="B57" s="208" t="s">
        <v>265</v>
      </c>
      <c r="C57" s="201">
        <v>35.555473507720009</v>
      </c>
      <c r="D57" s="189"/>
      <c r="G57" s="206"/>
      <c r="I57" s="202" t="s">
        <v>115</v>
      </c>
      <c r="J57" s="203">
        <v>0</v>
      </c>
      <c r="M57" s="204">
        <f t="shared" si="7"/>
        <v>35.555473507720009</v>
      </c>
      <c r="N57" s="205">
        <f t="shared" si="8"/>
        <v>0</v>
      </c>
    </row>
    <row r="58" spans="2:14" ht="27" customHeight="1" outlineLevel="1" x14ac:dyDescent="0.25">
      <c r="B58" s="208" t="s">
        <v>266</v>
      </c>
      <c r="C58" s="201">
        <v>7.2704211589599987</v>
      </c>
      <c r="D58" s="189"/>
      <c r="G58" s="206"/>
      <c r="I58" s="202" t="s">
        <v>115</v>
      </c>
      <c r="J58" s="203">
        <v>0</v>
      </c>
      <c r="M58" s="204">
        <f t="shared" si="7"/>
        <v>7.2704211589599987</v>
      </c>
      <c r="N58" s="205">
        <f t="shared" si="8"/>
        <v>0</v>
      </c>
    </row>
    <row r="59" spans="2:14" ht="27" customHeight="1" outlineLevel="1" x14ac:dyDescent="0.25">
      <c r="B59" s="208" t="s">
        <v>182</v>
      </c>
      <c r="C59" s="201">
        <v>2.8640649203699842</v>
      </c>
      <c r="D59" s="189"/>
      <c r="G59" s="206"/>
      <c r="I59" s="202" t="s">
        <v>115</v>
      </c>
      <c r="J59" s="203">
        <v>0</v>
      </c>
      <c r="M59" s="204">
        <f t="shared" si="7"/>
        <v>2.8640649203699842</v>
      </c>
      <c r="N59" s="205">
        <f t="shared" si="8"/>
        <v>0</v>
      </c>
    </row>
    <row r="60" spans="2:14" ht="27" customHeight="1" outlineLevel="1" x14ac:dyDescent="0.25">
      <c r="B60" s="207" t="s">
        <v>184</v>
      </c>
      <c r="C60" s="201">
        <v>10.240773084840001</v>
      </c>
      <c r="D60" s="189"/>
      <c r="G60" s="206"/>
      <c r="I60" s="202" t="s">
        <v>115</v>
      </c>
      <c r="J60" s="203">
        <v>0</v>
      </c>
      <c r="M60" s="204">
        <f t="shared" si="7"/>
        <v>10.240773084840001</v>
      </c>
      <c r="N60" s="205">
        <f t="shared" si="8"/>
        <v>0</v>
      </c>
    </row>
    <row r="61" spans="2:14" ht="27" customHeight="1" outlineLevel="1" x14ac:dyDescent="0.25">
      <c r="B61" s="207" t="s">
        <v>186</v>
      </c>
      <c r="C61" s="201">
        <v>1.8467413234900001</v>
      </c>
      <c r="G61" s="206"/>
      <c r="I61" s="202" t="s">
        <v>115</v>
      </c>
      <c r="J61" s="203">
        <v>0</v>
      </c>
      <c r="M61" s="204">
        <f t="shared" si="7"/>
        <v>1.8467413234900001</v>
      </c>
      <c r="N61" s="205">
        <f t="shared" si="8"/>
        <v>0</v>
      </c>
    </row>
    <row r="62" spans="2:14" ht="27" customHeight="1" outlineLevel="1" x14ac:dyDescent="0.25">
      <c r="B62" s="207" t="s">
        <v>269</v>
      </c>
      <c r="C62" s="201">
        <v>1.6828868996999999</v>
      </c>
      <c r="G62" s="206"/>
      <c r="I62" s="202" t="s">
        <v>115</v>
      </c>
      <c r="J62" s="203">
        <v>0</v>
      </c>
      <c r="M62" s="204">
        <f t="shared" si="7"/>
        <v>1.6828868996999999</v>
      </c>
      <c r="N62" s="205">
        <f t="shared" si="8"/>
        <v>0</v>
      </c>
    </row>
    <row r="63" spans="2:14" ht="27" customHeight="1" outlineLevel="1" x14ac:dyDescent="0.25">
      <c r="B63" s="207" t="s">
        <v>293</v>
      </c>
      <c r="C63" s="201">
        <v>5.7643433671599995</v>
      </c>
      <c r="G63" s="206"/>
      <c r="I63" s="202" t="s">
        <v>115</v>
      </c>
      <c r="J63" s="203">
        <v>0</v>
      </c>
      <c r="M63" s="204">
        <f t="shared" si="7"/>
        <v>5.7643433671599995</v>
      </c>
      <c r="N63" s="205">
        <f t="shared" si="8"/>
        <v>0</v>
      </c>
    </row>
    <row r="64" spans="2:14" ht="27" customHeight="1" outlineLevel="1" x14ac:dyDescent="0.25">
      <c r="B64" s="207" t="s">
        <v>177</v>
      </c>
      <c r="C64" s="201">
        <v>1.8265294054900001</v>
      </c>
      <c r="G64" s="206"/>
      <c r="I64" s="202" t="s">
        <v>115</v>
      </c>
      <c r="J64" s="203">
        <v>0</v>
      </c>
      <c r="M64" s="204">
        <f t="shared" si="7"/>
        <v>1.8265294054900001</v>
      </c>
      <c r="N64" s="205">
        <f t="shared" si="8"/>
        <v>0</v>
      </c>
    </row>
    <row r="65" spans="2:14" ht="27" customHeight="1" outlineLevel="1" x14ac:dyDescent="0.25">
      <c r="B65" s="207" t="s">
        <v>185</v>
      </c>
      <c r="C65" s="201">
        <v>10.94681641559</v>
      </c>
      <c r="G65" s="206"/>
      <c r="I65" s="202" t="s">
        <v>115</v>
      </c>
      <c r="J65" s="203">
        <v>0</v>
      </c>
      <c r="M65" s="204">
        <f t="shared" si="7"/>
        <v>10.94681641559</v>
      </c>
      <c r="N65" s="205">
        <f t="shared" si="8"/>
        <v>0</v>
      </c>
    </row>
    <row r="66" spans="2:14" ht="27" customHeight="1" outlineLevel="1" x14ac:dyDescent="0.25">
      <c r="B66" s="207" t="s">
        <v>182</v>
      </c>
      <c r="C66" s="201">
        <v>1.4106984933899922</v>
      </c>
      <c r="G66" s="206"/>
      <c r="I66" s="202" t="s">
        <v>115</v>
      </c>
      <c r="J66" s="203">
        <v>0</v>
      </c>
      <c r="M66" s="204">
        <f t="shared" si="7"/>
        <v>1.4106984933899922</v>
      </c>
      <c r="N66" s="205">
        <f t="shared" si="8"/>
        <v>0</v>
      </c>
    </row>
    <row r="67" spans="2:14" ht="27" customHeight="1" outlineLevel="1" x14ac:dyDescent="0.25">
      <c r="B67" s="200" t="s">
        <v>295</v>
      </c>
      <c r="C67" s="201">
        <v>1.8407825787900001</v>
      </c>
      <c r="G67" s="206"/>
      <c r="I67" s="202" t="s">
        <v>115</v>
      </c>
      <c r="J67" s="203">
        <v>0</v>
      </c>
      <c r="M67" s="204">
        <f t="shared" si="7"/>
        <v>1.8407825787900001</v>
      </c>
      <c r="N67" s="205">
        <f t="shared" si="8"/>
        <v>0</v>
      </c>
    </row>
    <row r="68" spans="2:14" ht="27" customHeight="1" outlineLevel="1" x14ac:dyDescent="0.25">
      <c r="B68" s="200" t="s">
        <v>296</v>
      </c>
      <c r="C68" s="201">
        <v>7.8511504437299999</v>
      </c>
      <c r="D68" s="189"/>
      <c r="G68" s="206"/>
      <c r="I68" s="202" t="s">
        <v>115</v>
      </c>
      <c r="J68" s="203">
        <v>0</v>
      </c>
      <c r="M68" s="204">
        <f t="shared" si="7"/>
        <v>7.8511504437299999</v>
      </c>
      <c r="N68" s="205">
        <f t="shared" si="8"/>
        <v>0</v>
      </c>
    </row>
    <row r="69" spans="2:14" ht="27" customHeight="1" outlineLevel="1" x14ac:dyDescent="0.25">
      <c r="B69" s="200" t="s">
        <v>297</v>
      </c>
      <c r="C69" s="201"/>
      <c r="D69" s="189"/>
      <c r="G69" s="206"/>
      <c r="I69" s="202"/>
      <c r="J69" s="389"/>
      <c r="M69" s="204"/>
      <c r="N69" s="205"/>
    </row>
    <row r="70" spans="2:14" ht="27" customHeight="1" outlineLevel="1" x14ac:dyDescent="0.25">
      <c r="B70" s="207" t="s">
        <v>294</v>
      </c>
      <c r="C70" s="201">
        <v>1.4621992058900002</v>
      </c>
      <c r="D70" s="189"/>
      <c r="G70" s="206"/>
      <c r="I70" s="202" t="s">
        <v>115</v>
      </c>
      <c r="J70" s="203">
        <v>0</v>
      </c>
      <c r="M70" s="204">
        <f t="shared" si="7"/>
        <v>1.4621992058900002</v>
      </c>
      <c r="N70" s="205">
        <f t="shared" si="8"/>
        <v>0</v>
      </c>
    </row>
    <row r="71" spans="2:14" ht="27" customHeight="1" outlineLevel="1" x14ac:dyDescent="0.25">
      <c r="B71" s="207" t="s">
        <v>182</v>
      </c>
      <c r="C71" s="201">
        <v>1.5047172590999998</v>
      </c>
      <c r="D71" s="189"/>
      <c r="G71" s="206"/>
      <c r="I71" s="202" t="s">
        <v>115</v>
      </c>
      <c r="J71" s="203">
        <v>0</v>
      </c>
      <c r="M71" s="204">
        <f t="shared" si="7"/>
        <v>1.5047172590999998</v>
      </c>
      <c r="N71" s="205">
        <f t="shared" si="8"/>
        <v>0</v>
      </c>
    </row>
    <row r="72" spans="2:14" ht="27" customHeight="1" outlineLevel="1" x14ac:dyDescent="0.25">
      <c r="B72" s="200" t="s">
        <v>254</v>
      </c>
      <c r="C72" s="201">
        <v>1.6051694660900002</v>
      </c>
      <c r="D72" s="189"/>
      <c r="G72" s="206"/>
      <c r="I72" s="202" t="s">
        <v>115</v>
      </c>
      <c r="J72" s="203">
        <v>0</v>
      </c>
      <c r="M72" s="204">
        <f t="shared" si="7"/>
        <v>1.6051694660900002</v>
      </c>
      <c r="N72" s="205">
        <f t="shared" si="8"/>
        <v>0</v>
      </c>
    </row>
    <row r="73" spans="2:14" ht="27" customHeight="1" x14ac:dyDescent="0.25">
      <c r="B73" s="591" t="s">
        <v>207</v>
      </c>
      <c r="C73" s="592">
        <f>SUM(C74:C74)</f>
        <v>0.99660433985000008</v>
      </c>
      <c r="D73" s="593"/>
      <c r="E73" s="594"/>
      <c r="F73" s="593"/>
      <c r="G73" s="595"/>
      <c r="H73" s="596"/>
      <c r="I73" s="597"/>
      <c r="J73" s="598"/>
      <c r="K73" s="599"/>
      <c r="L73" s="594"/>
      <c r="M73" s="605">
        <f>SUM(M74:M74)</f>
        <v>0.99660433985000008</v>
      </c>
      <c r="N73" s="601">
        <f t="shared" si="8"/>
        <v>0</v>
      </c>
    </row>
    <row r="74" spans="2:14" ht="27" customHeight="1" outlineLevel="1" x14ac:dyDescent="0.25">
      <c r="B74" s="200" t="s">
        <v>273</v>
      </c>
      <c r="C74" s="201">
        <v>0.99660433985000008</v>
      </c>
      <c r="D74" s="189"/>
      <c r="G74" s="206"/>
      <c r="I74" s="202" t="s">
        <v>115</v>
      </c>
      <c r="J74" s="203">
        <v>0</v>
      </c>
      <c r="M74" s="204">
        <f>C74+J74/100*C74</f>
        <v>0.99660433985000008</v>
      </c>
      <c r="N74" s="205">
        <f t="shared" si="8"/>
        <v>0</v>
      </c>
    </row>
    <row r="75" spans="2:14" ht="27" customHeight="1" x14ac:dyDescent="0.25">
      <c r="B75" s="591" t="s">
        <v>210</v>
      </c>
      <c r="C75" s="592">
        <f>SUM(C76:C77)</f>
        <v>2.0971448293899999</v>
      </c>
      <c r="D75" s="593"/>
      <c r="E75" s="606"/>
      <c r="F75" s="593"/>
      <c r="G75" s="595"/>
      <c r="H75" s="596"/>
      <c r="I75" s="597"/>
      <c r="J75" s="598"/>
      <c r="K75" s="599"/>
      <c r="L75" s="594"/>
      <c r="M75" s="605">
        <f>SUM(M76:M77)</f>
        <v>2.0971448293899999</v>
      </c>
      <c r="N75" s="601">
        <f>M75-C75</f>
        <v>0</v>
      </c>
    </row>
    <row r="76" spans="2:14" ht="27" customHeight="1" outlineLevel="1" x14ac:dyDescent="0.25">
      <c r="B76" s="200" t="s">
        <v>211</v>
      </c>
      <c r="C76" s="201">
        <v>2.01037425126</v>
      </c>
      <c r="G76" s="206"/>
      <c r="I76" s="202" t="s">
        <v>115</v>
      </c>
      <c r="J76" s="203">
        <v>0</v>
      </c>
      <c r="M76" s="204">
        <f>C76+J76/100*C76</f>
        <v>2.01037425126</v>
      </c>
      <c r="N76" s="205">
        <f>M76-C76</f>
        <v>0</v>
      </c>
    </row>
    <row r="77" spans="2:14" ht="27" customHeight="1" outlineLevel="1" x14ac:dyDescent="0.25">
      <c r="B77" s="209" t="s">
        <v>182</v>
      </c>
      <c r="C77" s="210">
        <v>8.6770578129999998E-2</v>
      </c>
      <c r="D77" s="211"/>
      <c r="E77" s="212"/>
      <c r="F77" s="213"/>
      <c r="G77" s="214"/>
      <c r="H77" s="215"/>
      <c r="I77" s="216" t="s">
        <v>115</v>
      </c>
      <c r="J77" s="203">
        <v>0</v>
      </c>
      <c r="K77" s="217"/>
      <c r="L77" s="212"/>
      <c r="M77" s="218">
        <f>C77+J77/100*C77</f>
        <v>8.6770578129999998E-2</v>
      </c>
      <c r="N77" s="219">
        <f>M77-C77</f>
        <v>0</v>
      </c>
    </row>
    <row r="78" spans="2:14" ht="27" customHeight="1" x14ac:dyDescent="0.25">
      <c r="B78" s="591" t="s">
        <v>182</v>
      </c>
      <c r="C78" s="592">
        <f>SUM(C79:C79)</f>
        <v>700.56303725883004</v>
      </c>
      <c r="D78" s="593"/>
      <c r="E78" s="594"/>
      <c r="F78" s="593"/>
      <c r="G78" s="595"/>
      <c r="H78" s="596"/>
      <c r="I78" s="597"/>
      <c r="J78" s="598"/>
      <c r="K78" s="599"/>
      <c r="L78" s="594"/>
      <c r="M78" s="605">
        <f>SUM(M79:M79)</f>
        <v>700.56303725883004</v>
      </c>
      <c r="N78" s="645">
        <f>M78-C78</f>
        <v>0</v>
      </c>
    </row>
    <row r="79" spans="2:14" ht="27" customHeight="1" outlineLevel="1" x14ac:dyDescent="0.25">
      <c r="B79" s="200" t="s">
        <v>274</v>
      </c>
      <c r="C79" s="201">
        <v>700.56303725883004</v>
      </c>
      <c r="D79" s="189"/>
      <c r="G79" s="206"/>
      <c r="I79" s="202" t="s">
        <v>115</v>
      </c>
      <c r="J79" s="203">
        <v>0</v>
      </c>
      <c r="M79" s="204">
        <f>C79+J79/100*C79</f>
        <v>700.56303725883004</v>
      </c>
      <c r="N79" s="220">
        <f>M79-C79</f>
        <v>0</v>
      </c>
    </row>
    <row r="80" spans="2:14" ht="27" customHeight="1" x14ac:dyDescent="0.25">
      <c r="B80" s="221" t="s">
        <v>212</v>
      </c>
      <c r="C80" s="607">
        <f>C75+C73+C42+C11+C5+C78</f>
        <v>1035.04156388058</v>
      </c>
      <c r="D80" s="608"/>
      <c r="E80" s="609"/>
      <c r="F80" s="608"/>
      <c r="G80" s="610"/>
      <c r="H80" s="611"/>
      <c r="I80" s="612"/>
      <c r="J80" s="613"/>
      <c r="K80" s="614"/>
      <c r="L80" s="615"/>
      <c r="M80" s="616">
        <f>M75+M73+M42+M11+M5+M78</f>
        <v>1035.04156388058</v>
      </c>
      <c r="N80" s="222">
        <f>N75+N73+N42+N11+N5+N78</f>
        <v>0</v>
      </c>
    </row>
    <row r="81" spans="2:14" ht="27" customHeight="1" x14ac:dyDescent="0.25">
      <c r="B81" s="591" t="s">
        <v>483</v>
      </c>
      <c r="C81" s="592">
        <f>SUM(C82:C99)</f>
        <v>117.49761239009997</v>
      </c>
      <c r="D81" s="593"/>
      <c r="E81" s="594"/>
      <c r="F81" s="593"/>
      <c r="G81" s="595"/>
      <c r="H81" s="596"/>
      <c r="I81" s="597"/>
      <c r="J81" s="598"/>
      <c r="K81" s="599"/>
      <c r="L81" s="594"/>
      <c r="M81" s="605">
        <f>SUM(M82:M99)</f>
        <v>117.49761239009997</v>
      </c>
      <c r="N81" s="601">
        <f>M81-C81</f>
        <v>0</v>
      </c>
    </row>
    <row r="82" spans="2:14" ht="27" customHeight="1" outlineLevel="1" x14ac:dyDescent="0.25">
      <c r="B82" s="200" t="s">
        <v>276</v>
      </c>
      <c r="C82" s="201"/>
      <c r="G82" s="206"/>
      <c r="I82" s="202"/>
      <c r="J82" s="389"/>
      <c r="M82" s="204"/>
      <c r="N82" s="205"/>
    </row>
    <row r="83" spans="2:14" ht="27" customHeight="1" outlineLevel="1" x14ac:dyDescent="0.25">
      <c r="B83" s="207" t="s">
        <v>176</v>
      </c>
      <c r="C83" s="201">
        <v>22.375796977029999</v>
      </c>
      <c r="G83" s="206"/>
      <c r="I83" s="202" t="s">
        <v>115</v>
      </c>
      <c r="J83" s="203">
        <v>0</v>
      </c>
      <c r="M83" s="204">
        <f t="shared" ref="M83:M99" si="9">C83+J83/100*C83</f>
        <v>22.375796977029999</v>
      </c>
      <c r="N83" s="205">
        <f t="shared" ref="N83:N94" si="10">M83-C83</f>
        <v>0</v>
      </c>
    </row>
    <row r="84" spans="2:14" ht="27" customHeight="1" outlineLevel="1" x14ac:dyDescent="0.25">
      <c r="B84" s="207" t="s">
        <v>281</v>
      </c>
      <c r="C84" s="201">
        <v>14.56663015897</v>
      </c>
      <c r="G84" s="206"/>
      <c r="I84" s="202" t="s">
        <v>115</v>
      </c>
      <c r="J84" s="203">
        <v>0</v>
      </c>
      <c r="M84" s="204">
        <f t="shared" si="9"/>
        <v>14.56663015897</v>
      </c>
      <c r="N84" s="205">
        <f t="shared" si="10"/>
        <v>0</v>
      </c>
    </row>
    <row r="85" spans="2:14" ht="27" customHeight="1" outlineLevel="1" x14ac:dyDescent="0.25">
      <c r="B85" s="207" t="s">
        <v>187</v>
      </c>
      <c r="C85" s="201">
        <v>13.693893838969998</v>
      </c>
      <c r="G85" s="206"/>
      <c r="I85" s="202" t="s">
        <v>115</v>
      </c>
      <c r="J85" s="203">
        <v>0</v>
      </c>
      <c r="M85" s="204">
        <f t="shared" si="9"/>
        <v>13.693893838969998</v>
      </c>
      <c r="N85" s="205">
        <f t="shared" si="10"/>
        <v>0</v>
      </c>
    </row>
    <row r="86" spans="2:14" ht="27" customHeight="1" outlineLevel="1" x14ac:dyDescent="0.25">
      <c r="B86" s="207" t="s">
        <v>184</v>
      </c>
      <c r="C86" s="201">
        <v>4.6063978377900003</v>
      </c>
      <c r="G86" s="206"/>
      <c r="I86" s="202" t="s">
        <v>115</v>
      </c>
      <c r="J86" s="203">
        <v>0</v>
      </c>
      <c r="M86" s="204">
        <f t="shared" si="9"/>
        <v>4.6063978377900003</v>
      </c>
      <c r="N86" s="205">
        <f t="shared" si="10"/>
        <v>0</v>
      </c>
    </row>
    <row r="87" spans="2:14" ht="27" customHeight="1" outlineLevel="1" x14ac:dyDescent="0.25">
      <c r="B87" s="207" t="s">
        <v>186</v>
      </c>
      <c r="C87" s="201">
        <v>7.8721880449099997</v>
      </c>
      <c r="G87" s="206"/>
      <c r="I87" s="202" t="s">
        <v>115</v>
      </c>
      <c r="J87" s="203">
        <v>0</v>
      </c>
      <c r="M87" s="204">
        <f t="shared" si="9"/>
        <v>7.8721880449099997</v>
      </c>
      <c r="N87" s="205">
        <f t="shared" si="10"/>
        <v>0</v>
      </c>
    </row>
    <row r="88" spans="2:14" ht="27" customHeight="1" outlineLevel="1" x14ac:dyDescent="0.25">
      <c r="B88" s="207" t="s">
        <v>269</v>
      </c>
      <c r="C88" s="201">
        <v>0.67038281504999997</v>
      </c>
      <c r="G88" s="206"/>
      <c r="I88" s="202" t="s">
        <v>115</v>
      </c>
      <c r="J88" s="203">
        <v>0</v>
      </c>
      <c r="M88" s="204">
        <f t="shared" si="9"/>
        <v>0.67038281504999997</v>
      </c>
      <c r="N88" s="205">
        <f t="shared" si="10"/>
        <v>0</v>
      </c>
    </row>
    <row r="89" spans="2:14" ht="27" customHeight="1" outlineLevel="1" x14ac:dyDescent="0.25">
      <c r="B89" s="207" t="s">
        <v>293</v>
      </c>
      <c r="C89" s="201">
        <v>22.453607706810001</v>
      </c>
      <c r="G89" s="206"/>
      <c r="I89" s="202" t="s">
        <v>115</v>
      </c>
      <c r="J89" s="203">
        <v>0</v>
      </c>
      <c r="M89" s="204">
        <f t="shared" si="9"/>
        <v>22.453607706810001</v>
      </c>
      <c r="N89" s="205">
        <f t="shared" si="10"/>
        <v>0</v>
      </c>
    </row>
    <row r="90" spans="2:14" ht="27" customHeight="1" outlineLevel="1" x14ac:dyDescent="0.25">
      <c r="B90" s="207" t="s">
        <v>177</v>
      </c>
      <c r="C90" s="201">
        <v>2.7934723226</v>
      </c>
      <c r="G90" s="206"/>
      <c r="I90" s="202" t="s">
        <v>115</v>
      </c>
      <c r="J90" s="203">
        <v>0</v>
      </c>
      <c r="M90" s="204">
        <f t="shared" si="9"/>
        <v>2.7934723226</v>
      </c>
      <c r="N90" s="205">
        <f t="shared" si="10"/>
        <v>0</v>
      </c>
    </row>
    <row r="91" spans="2:14" ht="27" customHeight="1" outlineLevel="1" x14ac:dyDescent="0.25">
      <c r="B91" s="207" t="s">
        <v>185</v>
      </c>
      <c r="C91" s="201">
        <v>2.2931371670300003</v>
      </c>
      <c r="G91" s="206"/>
      <c r="I91" s="202" t="s">
        <v>115</v>
      </c>
      <c r="J91" s="203">
        <v>0</v>
      </c>
      <c r="M91" s="204">
        <f t="shared" si="9"/>
        <v>2.2931371670300003</v>
      </c>
      <c r="N91" s="205">
        <f t="shared" si="10"/>
        <v>0</v>
      </c>
    </row>
    <row r="92" spans="2:14" ht="27" customHeight="1" outlineLevel="1" x14ac:dyDescent="0.25">
      <c r="B92" s="207" t="s">
        <v>298</v>
      </c>
      <c r="C92" s="201">
        <v>1.51867259271</v>
      </c>
      <c r="G92" s="206"/>
      <c r="I92" s="202" t="s">
        <v>115</v>
      </c>
      <c r="J92" s="203">
        <v>0</v>
      </c>
      <c r="M92" s="204">
        <f t="shared" si="9"/>
        <v>1.51867259271</v>
      </c>
      <c r="N92" s="205">
        <f t="shared" si="10"/>
        <v>0</v>
      </c>
    </row>
    <row r="93" spans="2:14" ht="27" customHeight="1" outlineLevel="1" x14ac:dyDescent="0.25">
      <c r="B93" s="207" t="s">
        <v>294</v>
      </c>
      <c r="C93" s="201">
        <v>2.8235079980900002</v>
      </c>
      <c r="G93" s="206"/>
      <c r="I93" s="202" t="s">
        <v>115</v>
      </c>
      <c r="J93" s="203">
        <v>0</v>
      </c>
      <c r="M93" s="204">
        <f t="shared" si="9"/>
        <v>2.8235079980900002</v>
      </c>
      <c r="N93" s="205">
        <f t="shared" si="10"/>
        <v>0</v>
      </c>
    </row>
    <row r="94" spans="2:14" ht="27" customHeight="1" outlineLevel="1" x14ac:dyDescent="0.25">
      <c r="B94" s="207" t="s">
        <v>182</v>
      </c>
      <c r="C94" s="201">
        <v>1.2215683467399903</v>
      </c>
      <c r="G94" s="206"/>
      <c r="I94" s="202" t="s">
        <v>115</v>
      </c>
      <c r="J94" s="203">
        <v>0</v>
      </c>
      <c r="M94" s="204">
        <f t="shared" si="9"/>
        <v>1.2215683467399903</v>
      </c>
      <c r="N94" s="205">
        <f t="shared" si="10"/>
        <v>0</v>
      </c>
    </row>
    <row r="95" spans="2:14" ht="27" customHeight="1" outlineLevel="1" x14ac:dyDescent="0.25">
      <c r="B95" s="200" t="s">
        <v>216</v>
      </c>
      <c r="C95" s="201">
        <v>5.3819297342700008</v>
      </c>
      <c r="G95" s="206"/>
      <c r="I95" s="202" t="s">
        <v>115</v>
      </c>
      <c r="J95" s="203">
        <v>0</v>
      </c>
      <c r="M95" s="204">
        <f t="shared" si="9"/>
        <v>5.3819297342700008</v>
      </c>
      <c r="N95" s="205">
        <f t="shared" ref="N95:N99" si="11">M95-C95</f>
        <v>0</v>
      </c>
    </row>
    <row r="96" spans="2:14" ht="27" customHeight="1" outlineLevel="1" x14ac:dyDescent="0.25">
      <c r="B96" s="200" t="s">
        <v>217</v>
      </c>
      <c r="C96" s="201">
        <v>2.3288445127899999</v>
      </c>
      <c r="G96" s="206"/>
      <c r="I96" s="202" t="s">
        <v>115</v>
      </c>
      <c r="J96" s="203">
        <v>0</v>
      </c>
      <c r="M96" s="204">
        <f t="shared" si="9"/>
        <v>2.3288445127899999</v>
      </c>
      <c r="N96" s="205">
        <f>M96-C96</f>
        <v>0</v>
      </c>
    </row>
    <row r="97" spans="2:14" ht="27" customHeight="1" outlineLevel="1" x14ac:dyDescent="0.25">
      <c r="B97" s="200" t="s">
        <v>299</v>
      </c>
      <c r="C97" s="201">
        <v>5.1413141380000003</v>
      </c>
      <c r="G97" s="206"/>
      <c r="I97" s="202" t="s">
        <v>115</v>
      </c>
      <c r="J97" s="203">
        <v>0</v>
      </c>
      <c r="M97" s="204">
        <f t="shared" si="9"/>
        <v>5.1413141380000003</v>
      </c>
      <c r="N97" s="205">
        <f>M97-C97</f>
        <v>0</v>
      </c>
    </row>
    <row r="98" spans="2:14" ht="27" customHeight="1" outlineLevel="1" x14ac:dyDescent="0.25">
      <c r="B98" s="200" t="s">
        <v>277</v>
      </c>
      <c r="C98" s="201">
        <v>5.3837437969900002</v>
      </c>
      <c r="G98" s="206"/>
      <c r="I98" s="202" t="s">
        <v>115</v>
      </c>
      <c r="J98" s="203">
        <v>0</v>
      </c>
      <c r="M98" s="204">
        <f t="shared" si="9"/>
        <v>5.3837437969900002</v>
      </c>
      <c r="N98" s="205">
        <f t="shared" si="11"/>
        <v>0</v>
      </c>
    </row>
    <row r="99" spans="2:14" ht="27" customHeight="1" outlineLevel="1" x14ac:dyDescent="0.25">
      <c r="B99" s="209" t="s">
        <v>278</v>
      </c>
      <c r="C99" s="210">
        <v>2.3725244013499998</v>
      </c>
      <c r="D99" s="213"/>
      <c r="E99" s="212"/>
      <c r="F99" s="213"/>
      <c r="G99" s="214"/>
      <c r="H99" s="215"/>
      <c r="I99" s="216" t="s">
        <v>115</v>
      </c>
      <c r="J99" s="203">
        <v>0</v>
      </c>
      <c r="K99" s="217"/>
      <c r="L99" s="212"/>
      <c r="M99" s="218">
        <f t="shared" si="9"/>
        <v>2.3725244013499998</v>
      </c>
      <c r="N99" s="219">
        <f t="shared" si="11"/>
        <v>0</v>
      </c>
    </row>
    <row r="100" spans="2:14" ht="27" customHeight="1" x14ac:dyDescent="0.25">
      <c r="B100" s="591" t="s">
        <v>220</v>
      </c>
      <c r="C100" s="592">
        <f>SUM(C101:C114)</f>
        <v>18.126959000970004</v>
      </c>
      <c r="D100" s="593"/>
      <c r="E100" s="594"/>
      <c r="F100" s="593"/>
      <c r="G100" s="595"/>
      <c r="H100" s="596"/>
      <c r="I100" s="597"/>
      <c r="J100" s="598"/>
      <c r="K100" s="599"/>
      <c r="L100" s="594"/>
      <c r="M100" s="605">
        <f>SUM(M101:M114)</f>
        <v>18.126959000970004</v>
      </c>
      <c r="N100" s="601">
        <f>M100-C100</f>
        <v>0</v>
      </c>
    </row>
    <row r="101" spans="2:14" ht="27" customHeight="1" outlineLevel="1" x14ac:dyDescent="0.25">
      <c r="B101" s="200" t="s">
        <v>279</v>
      </c>
      <c r="C101" s="201"/>
      <c r="G101" s="206"/>
      <c r="I101" s="202"/>
      <c r="M101" s="204"/>
      <c r="N101" s="205"/>
    </row>
    <row r="102" spans="2:14" ht="27" customHeight="1" outlineLevel="1" x14ac:dyDescent="0.25">
      <c r="B102" s="207" t="s">
        <v>176</v>
      </c>
      <c r="C102" s="201">
        <v>4.6604017553799997</v>
      </c>
      <c r="G102" s="206"/>
      <c r="I102" s="202" t="s">
        <v>115</v>
      </c>
      <c r="J102" s="203">
        <v>0</v>
      </c>
      <c r="M102" s="204">
        <f>C102+J102/100*C102</f>
        <v>4.6604017553799997</v>
      </c>
      <c r="N102" s="205">
        <f t="shared" ref="N102:N114" si="12">M102-C102</f>
        <v>0</v>
      </c>
    </row>
    <row r="103" spans="2:14" ht="27" customHeight="1" outlineLevel="1" x14ac:dyDescent="0.25">
      <c r="B103" s="207" t="s">
        <v>182</v>
      </c>
      <c r="C103" s="201">
        <v>0.60623611623000051</v>
      </c>
      <c r="G103" s="206"/>
      <c r="I103" s="202" t="s">
        <v>115</v>
      </c>
      <c r="J103" s="203">
        <v>0</v>
      </c>
      <c r="M103" s="204">
        <f t="shared" ref="M103:M114" si="13">C103+J103/100*C103</f>
        <v>0.60623611623000051</v>
      </c>
      <c r="N103" s="205">
        <f t="shared" si="12"/>
        <v>0</v>
      </c>
    </row>
    <row r="104" spans="2:14" ht="27" customHeight="1" outlineLevel="1" x14ac:dyDescent="0.25">
      <c r="B104" s="200" t="s">
        <v>300</v>
      </c>
      <c r="C104" s="201">
        <v>0.79885830436000005</v>
      </c>
      <c r="G104" s="206"/>
      <c r="I104" s="202" t="s">
        <v>115</v>
      </c>
      <c r="J104" s="203">
        <v>0</v>
      </c>
      <c r="M104" s="204">
        <f t="shared" si="13"/>
        <v>0.79885830436000005</v>
      </c>
      <c r="N104" s="205">
        <f t="shared" si="12"/>
        <v>0</v>
      </c>
    </row>
    <row r="105" spans="2:14" ht="27" customHeight="1" outlineLevel="1" x14ac:dyDescent="0.25">
      <c r="B105" s="200" t="s">
        <v>280</v>
      </c>
      <c r="C105" s="201"/>
      <c r="G105" s="206"/>
      <c r="I105" s="202"/>
      <c r="J105" s="389"/>
      <c r="M105" s="204"/>
      <c r="N105" s="205"/>
    </row>
    <row r="106" spans="2:14" ht="27" customHeight="1" outlineLevel="1" x14ac:dyDescent="0.25">
      <c r="B106" s="207" t="s">
        <v>281</v>
      </c>
      <c r="C106" s="201">
        <v>0.67977111159000003</v>
      </c>
      <c r="D106" s="189"/>
      <c r="G106" s="206"/>
      <c r="I106" s="202" t="s">
        <v>115</v>
      </c>
      <c r="J106" s="203">
        <v>0</v>
      </c>
      <c r="M106" s="204">
        <f t="shared" ref="M106:M110" si="14">C106+J106/100*C106</f>
        <v>0.67977111159000003</v>
      </c>
      <c r="N106" s="205">
        <f t="shared" ref="N106:N110" si="15">M106-C106</f>
        <v>0</v>
      </c>
    </row>
    <row r="107" spans="2:14" ht="27" customHeight="1" outlineLevel="1" x14ac:dyDescent="0.25">
      <c r="B107" s="207" t="s">
        <v>182</v>
      </c>
      <c r="C107" s="201">
        <v>0.55233072918999992</v>
      </c>
      <c r="G107" s="206"/>
      <c r="I107" s="202" t="s">
        <v>115</v>
      </c>
      <c r="J107" s="203">
        <v>0</v>
      </c>
      <c r="M107" s="204">
        <f t="shared" si="14"/>
        <v>0.55233072918999992</v>
      </c>
      <c r="N107" s="205">
        <f t="shared" si="15"/>
        <v>0</v>
      </c>
    </row>
    <row r="108" spans="2:14" ht="27" customHeight="1" outlineLevel="1" x14ac:dyDescent="0.25">
      <c r="B108" s="200" t="s">
        <v>282</v>
      </c>
      <c r="C108" s="201"/>
      <c r="G108" s="206"/>
      <c r="I108" s="202"/>
      <c r="J108" s="389"/>
      <c r="M108" s="204"/>
      <c r="N108" s="205"/>
    </row>
    <row r="109" spans="2:14" ht="27" customHeight="1" outlineLevel="1" x14ac:dyDescent="0.25">
      <c r="B109" s="207" t="s">
        <v>187</v>
      </c>
      <c r="C109" s="201">
        <v>1.9688946144799999</v>
      </c>
      <c r="G109" s="206"/>
      <c r="I109" s="202" t="s">
        <v>115</v>
      </c>
      <c r="J109" s="203">
        <v>0</v>
      </c>
      <c r="M109" s="204">
        <f t="shared" si="14"/>
        <v>1.9688946144799999</v>
      </c>
      <c r="N109" s="205">
        <f t="shared" si="15"/>
        <v>0</v>
      </c>
    </row>
    <row r="110" spans="2:14" ht="27" customHeight="1" outlineLevel="1" x14ac:dyDescent="0.25">
      <c r="B110" s="207" t="s">
        <v>184</v>
      </c>
      <c r="C110" s="201">
        <v>0.67478927166999991</v>
      </c>
      <c r="G110" s="206"/>
      <c r="I110" s="202" t="s">
        <v>115</v>
      </c>
      <c r="J110" s="203">
        <v>0</v>
      </c>
      <c r="M110" s="204">
        <f t="shared" si="14"/>
        <v>0.67478927166999991</v>
      </c>
      <c r="N110" s="205">
        <f t="shared" si="15"/>
        <v>0</v>
      </c>
    </row>
    <row r="111" spans="2:14" ht="27" customHeight="1" outlineLevel="1" x14ac:dyDescent="0.25">
      <c r="B111" s="207" t="s">
        <v>269</v>
      </c>
      <c r="C111" s="201">
        <v>0.83145414023999997</v>
      </c>
      <c r="G111" s="206"/>
      <c r="I111" s="202" t="s">
        <v>115</v>
      </c>
      <c r="J111" s="203">
        <v>0</v>
      </c>
      <c r="M111" s="204">
        <f t="shared" si="13"/>
        <v>0.83145414023999997</v>
      </c>
      <c r="N111" s="205">
        <f t="shared" si="12"/>
        <v>0</v>
      </c>
    </row>
    <row r="112" spans="2:14" ht="27" customHeight="1" outlineLevel="1" x14ac:dyDescent="0.25">
      <c r="B112" s="207" t="s">
        <v>182</v>
      </c>
      <c r="C112" s="201">
        <v>1.9439576563800007</v>
      </c>
      <c r="G112" s="206"/>
      <c r="I112" s="202" t="s">
        <v>115</v>
      </c>
      <c r="J112" s="203">
        <v>0</v>
      </c>
      <c r="M112" s="204">
        <f t="shared" si="13"/>
        <v>1.9439576563800007</v>
      </c>
      <c r="N112" s="205">
        <f t="shared" si="12"/>
        <v>0</v>
      </c>
    </row>
    <row r="113" spans="2:14" ht="27" customHeight="1" outlineLevel="1" x14ac:dyDescent="0.25">
      <c r="B113" s="200" t="s">
        <v>301</v>
      </c>
      <c r="C113" s="201">
        <v>5.19001207104</v>
      </c>
      <c r="G113" s="206"/>
      <c r="I113" s="202" t="s">
        <v>115</v>
      </c>
      <c r="J113" s="203">
        <v>0</v>
      </c>
      <c r="M113" s="204">
        <f t="shared" si="13"/>
        <v>5.19001207104</v>
      </c>
      <c r="N113" s="205">
        <f t="shared" si="12"/>
        <v>0</v>
      </c>
    </row>
    <row r="114" spans="2:14" ht="27" customHeight="1" outlineLevel="1" x14ac:dyDescent="0.25">
      <c r="B114" s="200" t="s">
        <v>226</v>
      </c>
      <c r="C114" s="201">
        <v>0.22025323041</v>
      </c>
      <c r="G114" s="206"/>
      <c r="I114" s="202" t="s">
        <v>115</v>
      </c>
      <c r="J114" s="203">
        <v>0</v>
      </c>
      <c r="M114" s="204">
        <f t="shared" si="13"/>
        <v>0.22025323041</v>
      </c>
      <c r="N114" s="205">
        <f t="shared" si="12"/>
        <v>0</v>
      </c>
    </row>
    <row r="115" spans="2:14" ht="27" customHeight="1" x14ac:dyDescent="0.25">
      <c r="B115" s="591" t="s">
        <v>284</v>
      </c>
      <c r="C115" s="592">
        <f>SUM(C116:C116)</f>
        <v>0.96842496959000002</v>
      </c>
      <c r="D115" s="593"/>
      <c r="E115" s="594"/>
      <c r="F115" s="593"/>
      <c r="G115" s="595"/>
      <c r="H115" s="596"/>
      <c r="I115" s="597"/>
      <c r="J115" s="598"/>
      <c r="K115" s="599"/>
      <c r="L115" s="594"/>
      <c r="M115" s="605">
        <f>SUM(M116:M116)</f>
        <v>0.96842496959000002</v>
      </c>
      <c r="N115" s="645">
        <f>M115-C115</f>
        <v>0</v>
      </c>
    </row>
    <row r="116" spans="2:14" ht="27" customHeight="1" outlineLevel="1" x14ac:dyDescent="0.25">
      <c r="B116" s="200" t="s">
        <v>285</v>
      </c>
      <c r="C116" s="201">
        <v>0.96842496959000002</v>
      </c>
      <c r="D116" s="189"/>
      <c r="G116" s="206"/>
      <c r="I116" s="202" t="s">
        <v>115</v>
      </c>
      <c r="J116" s="203">
        <v>0</v>
      </c>
      <c r="M116" s="204">
        <f>C116+J116/100*C116</f>
        <v>0.96842496959000002</v>
      </c>
      <c r="N116" s="220">
        <f>M116-C116</f>
        <v>0</v>
      </c>
    </row>
    <row r="117" spans="2:14" ht="27" customHeight="1" x14ac:dyDescent="0.25">
      <c r="B117" s="221" t="s">
        <v>231</v>
      </c>
      <c r="C117" s="607">
        <f>C81+C100+C115</f>
        <v>136.59299636065998</v>
      </c>
      <c r="D117" s="608"/>
      <c r="E117" s="617"/>
      <c r="F117" s="608"/>
      <c r="G117" s="610"/>
      <c r="H117" s="611"/>
      <c r="I117" s="612"/>
      <c r="J117" s="613"/>
      <c r="K117" s="614"/>
      <c r="L117" s="615"/>
      <c r="M117" s="616">
        <f>M81+M100+M115</f>
        <v>136.59299636065998</v>
      </c>
      <c r="N117" s="222">
        <f>M117-C117</f>
        <v>0</v>
      </c>
    </row>
    <row r="118" spans="2:14" ht="27" customHeight="1" x14ac:dyDescent="0.25">
      <c r="B118" s="223" t="s">
        <v>62</v>
      </c>
      <c r="C118" s="224">
        <f>C5+C11+C73+C75+C42++C81+C100+C115+C78</f>
        <v>1171.63456024124</v>
      </c>
      <c r="D118" s="225"/>
      <c r="E118" s="226"/>
      <c r="F118" s="225"/>
      <c r="G118" s="227"/>
      <c r="H118" s="228"/>
      <c r="I118" s="229"/>
      <c r="J118" s="230"/>
      <c r="K118" s="231"/>
      <c r="L118" s="226"/>
      <c r="M118" s="232">
        <f>M5+M11+M73+M75+M42++M81+M100+M115+M78</f>
        <v>1171.63456024124</v>
      </c>
      <c r="N118" s="233">
        <f>N5+N11+N73+N75+N42++N81+N100+N115+N78</f>
        <v>0</v>
      </c>
    </row>
    <row r="119" spans="2:14" ht="27" customHeight="1" x14ac:dyDescent="0.25">
      <c r="B119" s="234"/>
      <c r="C119" s="235"/>
      <c r="G119" s="206"/>
      <c r="I119" s="202"/>
      <c r="M119" s="204"/>
      <c r="N119" s="205"/>
    </row>
    <row r="120" spans="2:14" s="190" customFormat="1" ht="27" customHeight="1" x14ac:dyDescent="0.25">
      <c r="B120" s="591" t="s">
        <v>484</v>
      </c>
      <c r="C120" s="592">
        <v>1212.8817855842599</v>
      </c>
      <c r="D120" s="619"/>
      <c r="E120" s="620"/>
      <c r="F120" s="619"/>
      <c r="G120" s="621"/>
      <c r="H120" s="622"/>
      <c r="I120" s="623"/>
      <c r="J120" s="624"/>
      <c r="K120" s="625"/>
      <c r="L120" s="620"/>
      <c r="M120" s="605"/>
      <c r="N120" s="601"/>
    </row>
    <row r="121" spans="2:14" s="190" customFormat="1" ht="27" customHeight="1" x14ac:dyDescent="0.25">
      <c r="B121" s="626" t="s">
        <v>485</v>
      </c>
      <c r="C121" s="646">
        <f>C120-C118</f>
        <v>41.247225343019863</v>
      </c>
      <c r="D121" s="628"/>
      <c r="E121" s="629"/>
      <c r="F121" s="628"/>
      <c r="G121" s="630"/>
      <c r="H121" s="631"/>
      <c r="I121" s="632"/>
      <c r="J121" s="633"/>
      <c r="K121" s="634"/>
      <c r="L121" s="629"/>
      <c r="M121" s="635"/>
      <c r="N121" s="636"/>
    </row>
    <row r="122" spans="2:14" ht="27" customHeight="1" x14ac:dyDescent="0.25">
      <c r="B122" s="637"/>
      <c r="C122" s="201"/>
      <c r="G122" s="206"/>
      <c r="I122" s="202"/>
      <c r="M122" s="204"/>
      <c r="N122" s="205"/>
    </row>
    <row r="123" spans="2:14" s="190" customFormat="1" ht="27" customHeight="1" x14ac:dyDescent="0.25">
      <c r="B123" s="591" t="s">
        <v>484</v>
      </c>
      <c r="C123" s="592"/>
      <c r="D123" s="619"/>
      <c r="E123" s="620"/>
      <c r="F123" s="619"/>
      <c r="G123" s="621"/>
      <c r="H123" s="622"/>
      <c r="I123" s="623"/>
      <c r="J123" s="624"/>
      <c r="K123" s="625"/>
      <c r="L123" s="620"/>
      <c r="M123" s="605">
        <f>C120</f>
        <v>1212.8817855842599</v>
      </c>
      <c r="N123" s="601"/>
    </row>
    <row r="124" spans="2:14" s="190" customFormat="1" ht="27" customHeight="1" thickBot="1" x14ac:dyDescent="0.3">
      <c r="B124" s="374" t="s">
        <v>486</v>
      </c>
      <c r="C124" s="638"/>
      <c r="D124" s="639"/>
      <c r="E124" s="640"/>
      <c r="F124" s="639"/>
      <c r="G124" s="236"/>
      <c r="H124" s="641"/>
      <c r="I124" s="237"/>
      <c r="J124" s="642"/>
      <c r="K124" s="643"/>
      <c r="L124" s="640"/>
      <c r="M124" s="644">
        <f>M123-M118</f>
        <v>41.247225343019863</v>
      </c>
      <c r="N124" s="367"/>
    </row>
  </sheetData>
  <sheetProtection algorithmName="SHA-512" hashValue="XndZ81HlIdoMyd9nYs2+JYD8q6sUjWphWjNSutjJYJPh+XgO9qnUNumzIDNFFmb8dQfs85+JZwVHetGIwTX7wA==" saltValue="HE1LkiRlEi/HLF32ylJr5g==" spinCount="100000" sheet="1" objects="1" scenarios="1"/>
  <mergeCells count="5">
    <mergeCell ref="B3:B4"/>
    <mergeCell ref="C3:G3"/>
    <mergeCell ref="I3:M3"/>
    <mergeCell ref="N3:N4"/>
    <mergeCell ref="C1:N1"/>
  </mergeCells>
  <conditionalFormatting sqref="C121">
    <cfRule type="cellIs" dxfId="5" priority="1" operator="greaterThan">
      <formula>0</formula>
    </cfRule>
    <cfRule type="cellIs" dxfId="4" priority="2" operator="lessThan">
      <formula>0</formula>
    </cfRule>
  </conditionalFormatting>
  <conditionalFormatting sqref="M124">
    <cfRule type="cellIs" dxfId="3" priority="3" operator="greaterThan">
      <formula>0</formula>
    </cfRule>
    <cfRule type="cellIs" dxfId="2" priority="4" operator="lessThan">
      <formula>0</formula>
    </cfRule>
  </conditionalFormatting>
  <pageMargins left="0.25" right="0.25" top="0.75" bottom="0.75" header="0.3" footer="0.3"/>
  <pageSetup paperSize="8" scale="1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B49D4-EA99-4B58-AC4E-06082693C374}">
  <sheetPr>
    <tabColor rgb="FF7030A0"/>
    <pageSetUpPr fitToPage="1"/>
  </sheetPr>
  <dimension ref="B1:H15"/>
  <sheetViews>
    <sheetView showGridLines="0" zoomScale="85" zoomScaleNormal="85" workbookViewId="0"/>
  </sheetViews>
  <sheetFormatPr defaultColWidth="9.28515625" defaultRowHeight="15" x14ac:dyDescent="0.2"/>
  <cols>
    <col min="1" max="1" width="4" style="262" customWidth="1"/>
    <col min="2" max="2" width="51.5703125" style="262" customWidth="1"/>
    <col min="3" max="3" width="182.85546875" style="262" customWidth="1"/>
    <col min="4" max="16384" width="9.28515625" style="262"/>
  </cols>
  <sheetData>
    <row r="1" spans="2:8" ht="27" customHeight="1" x14ac:dyDescent="0.2"/>
    <row r="2" spans="2:8" ht="33.75" x14ac:dyDescent="0.2">
      <c r="C2" s="550" t="s">
        <v>456</v>
      </c>
      <c r="H2" s="263"/>
    </row>
    <row r="3" spans="2:8" ht="58.5" customHeight="1" x14ac:dyDescent="0.2">
      <c r="C3" s="265" t="s">
        <v>460</v>
      </c>
      <c r="G3" s="263"/>
      <c r="H3" s="263"/>
    </row>
    <row r="4" spans="2:8" ht="42.75" customHeight="1" x14ac:dyDescent="0.2">
      <c r="C4" s="551" t="s">
        <v>302</v>
      </c>
      <c r="G4" s="263"/>
      <c r="H4" s="263"/>
    </row>
    <row r="5" spans="2:8" ht="96.75" customHeight="1" x14ac:dyDescent="0.2">
      <c r="C5" s="551" t="s">
        <v>461</v>
      </c>
      <c r="H5" s="263"/>
    </row>
    <row r="6" spans="2:8" ht="21" customHeight="1" x14ac:dyDescent="0.2">
      <c r="C6" s="269" t="s">
        <v>462</v>
      </c>
      <c r="H6" s="263"/>
    </row>
    <row r="7" spans="2:8" ht="21" customHeight="1" x14ac:dyDescent="0.2">
      <c r="C7" s="269" t="s">
        <v>463</v>
      </c>
      <c r="H7" s="263"/>
    </row>
    <row r="8" spans="2:8" ht="21" customHeight="1" x14ac:dyDescent="0.2">
      <c r="C8" s="378" t="s">
        <v>464</v>
      </c>
      <c r="H8" s="263"/>
    </row>
    <row r="9" spans="2:8" ht="90" customHeight="1" x14ac:dyDescent="0.2">
      <c r="B9" s="270"/>
      <c r="C9" s="378" t="s">
        <v>465</v>
      </c>
      <c r="H9" s="263"/>
    </row>
    <row r="10" spans="2:8" ht="51" customHeight="1" x14ac:dyDescent="0.2">
      <c r="B10" s="270"/>
      <c r="C10" s="265" t="s">
        <v>466</v>
      </c>
      <c r="H10" s="263"/>
    </row>
    <row r="11" spans="2:8" ht="26.45" customHeight="1" x14ac:dyDescent="0.2">
      <c r="C11" s="529" t="s">
        <v>303</v>
      </c>
      <c r="H11" s="263"/>
    </row>
    <row r="12" spans="2:8" ht="73.5" customHeight="1" x14ac:dyDescent="0.2">
      <c r="C12" s="265" t="s">
        <v>467</v>
      </c>
    </row>
    <row r="13" spans="2:8" x14ac:dyDescent="0.2">
      <c r="C13" s="272"/>
    </row>
    <row r="14" spans="2:8" x14ac:dyDescent="0.2">
      <c r="C14" s="266" t="s">
        <v>19</v>
      </c>
    </row>
    <row r="15" spans="2:8" s="270" customFormat="1" x14ac:dyDescent="0.25">
      <c r="C15" s="266" t="s">
        <v>468</v>
      </c>
    </row>
  </sheetData>
  <sheetProtection algorithmName="SHA-512" hashValue="m5iItEWk+0jTe3mSCcm35soWHOnJLLxYwrpHitZ3sd+aS6x1i4MF9vgHWpFx5Kzb/LVR2zcoEgWjznbJG/WIhQ==" saltValue="kW7pc1Ps00YdclEBCKi/IA==" spinCount="100000" sheet="1" objects="1" scenarios="1"/>
  <pageMargins left="0.7" right="0.7" top="0.78740157499999996" bottom="0.78740157499999996" header="0.3" footer="0.3"/>
  <pageSetup paperSize="9" scale="5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357C9-2BFE-48EC-A066-DCF9359AFA46}">
  <sheetPr>
    <tabColor rgb="FF7030A0"/>
    <outlinePr summaryBelow="0"/>
    <pageSetUpPr fitToPage="1"/>
  </sheetPr>
  <dimension ref="B1:P64"/>
  <sheetViews>
    <sheetView zoomScale="55" zoomScaleNormal="55" workbookViewId="0">
      <selection activeCell="J48" sqref="J48"/>
    </sheetView>
  </sheetViews>
  <sheetFormatPr defaultColWidth="9.140625" defaultRowHeight="15" outlineLevelRow="1" x14ac:dyDescent="0.25"/>
  <cols>
    <col min="1" max="1" width="4.140625" style="238" customWidth="1"/>
    <col min="2" max="2" width="131.140625" style="238" customWidth="1"/>
    <col min="3" max="3" width="24.140625" style="245" customWidth="1"/>
    <col min="4" max="4" width="28" style="242" customWidth="1"/>
    <col min="5" max="5" width="20.7109375" style="241" customWidth="1"/>
    <col min="6" max="6" width="39.5703125" style="242" customWidth="1"/>
    <col min="7" max="7" width="20.7109375" style="241" customWidth="1"/>
    <col min="8" max="8" width="5.28515625" style="238" customWidth="1"/>
    <col min="9" max="9" width="28" style="242" customWidth="1"/>
    <col min="10" max="10" width="17" style="243" customWidth="1"/>
    <col min="11" max="11" width="42.28515625" style="244" customWidth="1"/>
    <col min="12" max="12" width="20.85546875" style="241" customWidth="1"/>
    <col min="13" max="13" width="20.7109375" style="245" bestFit="1" customWidth="1"/>
    <col min="14" max="14" width="18" style="246" bestFit="1" customWidth="1"/>
    <col min="15" max="15" width="18.42578125" style="238" customWidth="1"/>
    <col min="16" max="16" width="28.7109375" style="238" bestFit="1" customWidth="1"/>
    <col min="17" max="17" width="16" style="238" bestFit="1" customWidth="1"/>
    <col min="18" max="16384" width="9.140625" style="238"/>
  </cols>
  <sheetData>
    <row r="1" spans="2:14" ht="165" customHeight="1" x14ac:dyDescent="0.25">
      <c r="B1" s="711" t="s">
        <v>459</v>
      </c>
      <c r="C1" s="711"/>
      <c r="D1" s="711"/>
      <c r="E1" s="711"/>
      <c r="F1" s="711"/>
      <c r="G1" s="711"/>
      <c r="H1" s="711"/>
      <c r="I1" s="711"/>
      <c r="J1" s="711"/>
      <c r="K1" s="711"/>
      <c r="L1" s="711"/>
      <c r="M1" s="711"/>
      <c r="N1" s="711"/>
    </row>
    <row r="2" spans="2:14" ht="16.5" thickBot="1" x14ac:dyDescent="0.3">
      <c r="C2" s="239"/>
      <c r="D2" s="240"/>
    </row>
    <row r="3" spans="2:14" ht="23.25" customHeight="1" x14ac:dyDescent="0.25">
      <c r="B3" s="712" t="s">
        <v>99</v>
      </c>
      <c r="C3" s="714" t="s">
        <v>384</v>
      </c>
      <c r="D3" s="715"/>
      <c r="E3" s="715"/>
      <c r="F3" s="715"/>
      <c r="G3" s="716"/>
      <c r="H3" s="247"/>
      <c r="I3" s="714" t="s">
        <v>100</v>
      </c>
      <c r="J3" s="715"/>
      <c r="K3" s="715"/>
      <c r="L3" s="715"/>
      <c r="M3" s="716"/>
      <c r="N3" s="717" t="s">
        <v>101</v>
      </c>
    </row>
    <row r="4" spans="2:14" ht="32.25" customHeight="1" thickBot="1" x14ac:dyDescent="0.3">
      <c r="B4" s="713"/>
      <c r="C4" s="248" t="s">
        <v>102</v>
      </c>
      <c r="D4" s="530" t="s">
        <v>103</v>
      </c>
      <c r="E4" s="530" t="s">
        <v>104</v>
      </c>
      <c r="F4" s="530" t="s">
        <v>105</v>
      </c>
      <c r="G4" s="261" t="s">
        <v>304</v>
      </c>
      <c r="H4" s="530"/>
      <c r="I4" s="248" t="s">
        <v>103</v>
      </c>
      <c r="J4" s="530" t="s">
        <v>104</v>
      </c>
      <c r="K4" s="530" t="s">
        <v>105</v>
      </c>
      <c r="L4" s="530" t="s">
        <v>304</v>
      </c>
      <c r="M4" s="261" t="s">
        <v>102</v>
      </c>
      <c r="N4" s="718"/>
    </row>
    <row r="5" spans="2:14" ht="27" customHeight="1" outlineLevel="1" x14ac:dyDescent="0.25">
      <c r="B5" s="531"/>
      <c r="C5" s="532"/>
      <c r="D5" s="533"/>
      <c r="E5" s="534"/>
      <c r="F5" s="533"/>
      <c r="G5" s="535"/>
      <c r="H5" s="536"/>
      <c r="I5" s="537"/>
      <c r="J5" s="585"/>
      <c r="K5" s="538"/>
      <c r="L5" s="586"/>
      <c r="M5" s="532"/>
      <c r="N5" s="539"/>
    </row>
    <row r="6" spans="2:14" ht="27" customHeight="1" outlineLevel="1" x14ac:dyDescent="0.25">
      <c r="B6" s="49" t="s">
        <v>365</v>
      </c>
      <c r="C6" s="31">
        <f>C7+C21+C30</f>
        <v>526.38291900000002</v>
      </c>
      <c r="D6" s="238"/>
      <c r="E6" s="238"/>
      <c r="H6" s="249"/>
      <c r="I6" s="238"/>
      <c r="J6" s="238"/>
      <c r="K6" s="289"/>
      <c r="L6" s="587"/>
      <c r="M6" s="73">
        <f>M7+M21+M30</f>
        <v>526.38291900000002</v>
      </c>
      <c r="N6" s="250">
        <f>C6-M6</f>
        <v>0</v>
      </c>
    </row>
    <row r="7" spans="2:14" ht="27" customHeight="1" outlineLevel="1" x14ac:dyDescent="0.25">
      <c r="B7" s="251" t="s">
        <v>366</v>
      </c>
      <c r="C7" s="31">
        <f>SUM(C8:C20)</f>
        <v>148.69637100000003</v>
      </c>
      <c r="E7" s="290"/>
      <c r="H7" s="252"/>
      <c r="I7" s="253"/>
      <c r="J7" s="587"/>
      <c r="K7" s="289"/>
      <c r="L7" s="587"/>
      <c r="M7" s="73">
        <f>SUM(M8:M20)</f>
        <v>148.69637100000003</v>
      </c>
      <c r="N7" s="250">
        <f>C7-M7</f>
        <v>0</v>
      </c>
    </row>
    <row r="8" spans="2:14" ht="27" customHeight="1" outlineLevel="1" x14ac:dyDescent="0.25">
      <c r="B8" s="32" t="s">
        <v>305</v>
      </c>
      <c r="C8" s="17">
        <v>19.830328999999999</v>
      </c>
      <c r="F8" s="242" t="s">
        <v>306</v>
      </c>
      <c r="G8" s="254">
        <f t="shared" ref="G8:G20" si="0">C8*1000000000/10828717</f>
        <v>1831.2722550603178</v>
      </c>
      <c r="I8" s="255"/>
      <c r="J8" s="582"/>
      <c r="K8" s="242" t="s">
        <v>306</v>
      </c>
      <c r="L8" s="256">
        <v>1831.2722550603178</v>
      </c>
      <c r="M8" s="257">
        <f t="shared" ref="M8:M20" si="1">(10828717*L8/1000000000)</f>
        <v>19.830328999999999</v>
      </c>
      <c r="N8" s="250"/>
    </row>
    <row r="9" spans="2:14" ht="27" customHeight="1" outlineLevel="1" x14ac:dyDescent="0.25">
      <c r="B9" s="32" t="s">
        <v>307</v>
      </c>
      <c r="C9" s="17">
        <v>21.790458999999998</v>
      </c>
      <c r="E9" s="582"/>
      <c r="F9" s="242" t="s">
        <v>306</v>
      </c>
      <c r="G9" s="254">
        <f t="shared" si="0"/>
        <v>2012.2844654634523</v>
      </c>
      <c r="I9" s="255"/>
      <c r="J9" s="582"/>
      <c r="K9" s="242" t="s">
        <v>306</v>
      </c>
      <c r="L9" s="256">
        <v>2012.2844654634523</v>
      </c>
      <c r="M9" s="257">
        <f t="shared" si="1"/>
        <v>21.790458999999998</v>
      </c>
      <c r="N9" s="250"/>
    </row>
    <row r="10" spans="2:14" ht="27" customHeight="1" outlineLevel="1" x14ac:dyDescent="0.25">
      <c r="B10" s="32" t="s">
        <v>308</v>
      </c>
      <c r="C10" s="540">
        <v>10.860932</v>
      </c>
      <c r="E10" s="290"/>
      <c r="F10" s="242" t="s">
        <v>306</v>
      </c>
      <c r="G10" s="254">
        <f t="shared" si="0"/>
        <v>1002.9749600068042</v>
      </c>
      <c r="I10" s="255"/>
      <c r="J10" s="582"/>
      <c r="K10" s="242" t="s">
        <v>306</v>
      </c>
      <c r="L10" s="256">
        <v>1002.9749600068042</v>
      </c>
      <c r="M10" s="257">
        <f t="shared" si="1"/>
        <v>10.860932</v>
      </c>
      <c r="N10" s="250"/>
    </row>
    <row r="11" spans="2:14" ht="27" customHeight="1" outlineLevel="1" x14ac:dyDescent="0.25">
      <c r="B11" s="32" t="s">
        <v>309</v>
      </c>
      <c r="C11" s="17">
        <v>7.0091140000000003</v>
      </c>
      <c r="E11" s="290"/>
      <c r="F11" s="242" t="s">
        <v>306</v>
      </c>
      <c r="G11" s="254">
        <f t="shared" si="0"/>
        <v>647.27095555272149</v>
      </c>
      <c r="I11" s="255"/>
      <c r="J11" s="582"/>
      <c r="K11" s="242" t="s">
        <v>306</v>
      </c>
      <c r="L11" s="256">
        <v>647.27095555272149</v>
      </c>
      <c r="M11" s="257">
        <f t="shared" si="1"/>
        <v>7.0091140000000003</v>
      </c>
      <c r="N11" s="250"/>
    </row>
    <row r="12" spans="2:14" ht="27" customHeight="1" outlineLevel="1" x14ac:dyDescent="0.25">
      <c r="B12" s="32" t="s">
        <v>310</v>
      </c>
      <c r="C12" s="540">
        <v>5.5419980000000004</v>
      </c>
      <c r="E12" s="290"/>
      <c r="F12" s="242" t="s">
        <v>306</v>
      </c>
      <c r="G12" s="254">
        <f t="shared" si="0"/>
        <v>511.78713046060767</v>
      </c>
      <c r="I12" s="255"/>
      <c r="J12" s="582"/>
      <c r="K12" s="242" t="s">
        <v>306</v>
      </c>
      <c r="L12" s="256">
        <v>511.78713046060767</v>
      </c>
      <c r="M12" s="257">
        <f t="shared" si="1"/>
        <v>5.5419980000000004</v>
      </c>
      <c r="N12" s="250"/>
    </row>
    <row r="13" spans="2:14" ht="27" customHeight="1" outlineLevel="1" x14ac:dyDescent="0.25">
      <c r="B13" s="32" t="s">
        <v>311</v>
      </c>
      <c r="C13" s="17">
        <v>15.674104</v>
      </c>
      <c r="E13" s="290"/>
      <c r="F13" s="242" t="s">
        <v>306</v>
      </c>
      <c r="G13" s="254">
        <f t="shared" si="0"/>
        <v>1447.4571641312632</v>
      </c>
      <c r="I13" s="255"/>
      <c r="J13" s="582"/>
      <c r="K13" s="242" t="s">
        <v>306</v>
      </c>
      <c r="L13" s="256">
        <v>1447.4571641312632</v>
      </c>
      <c r="M13" s="257">
        <f t="shared" si="1"/>
        <v>15.674104</v>
      </c>
      <c r="N13" s="250"/>
    </row>
    <row r="14" spans="2:14" ht="27" customHeight="1" outlineLevel="1" x14ac:dyDescent="0.25">
      <c r="B14" s="32" t="s">
        <v>312</v>
      </c>
      <c r="C14" s="17">
        <v>3.6938979999999999</v>
      </c>
      <c r="E14" s="290"/>
      <c r="F14" s="242" t="s">
        <v>306</v>
      </c>
      <c r="G14" s="254">
        <f t="shared" si="0"/>
        <v>341.12055934234866</v>
      </c>
      <c r="I14" s="255"/>
      <c r="J14" s="582"/>
      <c r="K14" s="242" t="s">
        <v>306</v>
      </c>
      <c r="L14" s="256">
        <v>341.12055934234866</v>
      </c>
      <c r="M14" s="257">
        <f t="shared" si="1"/>
        <v>3.6938979999999995</v>
      </c>
      <c r="N14" s="250"/>
    </row>
    <row r="15" spans="2:14" ht="27" customHeight="1" outlineLevel="1" x14ac:dyDescent="0.25">
      <c r="B15" s="32" t="s">
        <v>313</v>
      </c>
      <c r="C15" s="17">
        <f>20.465041-C13-C14</f>
        <v>1.0970389999999997</v>
      </c>
      <c r="E15" s="290"/>
      <c r="F15" s="242" t="s">
        <v>306</v>
      </c>
      <c r="G15" s="254">
        <f t="shared" si="0"/>
        <v>101.30830826957614</v>
      </c>
      <c r="I15" s="255"/>
      <c r="J15" s="582"/>
      <c r="K15" s="242" t="s">
        <v>306</v>
      </c>
      <c r="L15" s="256">
        <v>101.30830826957614</v>
      </c>
      <c r="M15" s="257">
        <f t="shared" si="1"/>
        <v>1.0970389999999997</v>
      </c>
      <c r="N15" s="250"/>
    </row>
    <row r="16" spans="2:14" ht="27" customHeight="1" outlineLevel="1" x14ac:dyDescent="0.25">
      <c r="B16" s="32" t="s">
        <v>314</v>
      </c>
      <c r="C16" s="17">
        <v>5.7486129999999998</v>
      </c>
      <c r="E16" s="290"/>
      <c r="F16" s="242" t="s">
        <v>306</v>
      </c>
      <c r="G16" s="254">
        <f t="shared" si="0"/>
        <v>530.8674148562568</v>
      </c>
      <c r="I16" s="255"/>
      <c r="J16" s="582"/>
      <c r="K16" s="242" t="s">
        <v>306</v>
      </c>
      <c r="L16" s="256">
        <v>530.8674148562568</v>
      </c>
      <c r="M16" s="257">
        <f t="shared" si="1"/>
        <v>5.7486130000000006</v>
      </c>
      <c r="N16" s="250"/>
    </row>
    <row r="17" spans="2:14" ht="27" customHeight="1" outlineLevel="1" x14ac:dyDescent="0.25">
      <c r="B17" s="346" t="s">
        <v>315</v>
      </c>
      <c r="C17" s="17">
        <f>46.832495-C18</f>
        <v>42.900323</v>
      </c>
      <c r="E17" s="290"/>
      <c r="F17" s="242" t="s">
        <v>306</v>
      </c>
      <c r="G17" s="254">
        <f t="shared" si="0"/>
        <v>3961.7179948464809</v>
      </c>
      <c r="I17" s="255"/>
      <c r="J17" s="582"/>
      <c r="K17" s="242" t="s">
        <v>306</v>
      </c>
      <c r="L17" s="256">
        <v>3961.7179948464809</v>
      </c>
      <c r="M17" s="257">
        <f t="shared" si="1"/>
        <v>42.900323</v>
      </c>
      <c r="N17" s="250"/>
    </row>
    <row r="18" spans="2:14" ht="27" customHeight="1" outlineLevel="1" x14ac:dyDescent="0.25">
      <c r="B18" s="32" t="s">
        <v>316</v>
      </c>
      <c r="C18" s="17">
        <v>3.932172</v>
      </c>
      <c r="E18" s="290"/>
      <c r="F18" s="242" t="s">
        <v>306</v>
      </c>
      <c r="G18" s="254">
        <f t="shared" si="0"/>
        <v>363.12445878860808</v>
      </c>
      <c r="I18" s="255"/>
      <c r="J18" s="582"/>
      <c r="K18" s="242" t="s">
        <v>306</v>
      </c>
      <c r="L18" s="256">
        <v>363.12445878860808</v>
      </c>
      <c r="M18" s="257">
        <f t="shared" si="1"/>
        <v>3.9321719999999996</v>
      </c>
      <c r="N18" s="250"/>
    </row>
    <row r="19" spans="2:14" ht="27" customHeight="1" outlineLevel="1" x14ac:dyDescent="0.25">
      <c r="B19" s="32" t="s">
        <v>317</v>
      </c>
      <c r="C19" s="17">
        <v>3.4644840000000001</v>
      </c>
      <c r="E19" s="290"/>
      <c r="F19" s="242" t="s">
        <v>306</v>
      </c>
      <c r="G19" s="254">
        <f t="shared" si="0"/>
        <v>319.93485470162346</v>
      </c>
      <c r="I19" s="255"/>
      <c r="J19" s="582"/>
      <c r="K19" s="242" t="s">
        <v>306</v>
      </c>
      <c r="L19" s="256">
        <v>319.93485470162346</v>
      </c>
      <c r="M19" s="257">
        <f t="shared" si="1"/>
        <v>3.4644840000000001</v>
      </c>
      <c r="N19" s="250"/>
    </row>
    <row r="20" spans="2:14" ht="27" customHeight="1" outlineLevel="1" x14ac:dyDescent="0.25">
      <c r="B20" s="32" t="s">
        <v>318</v>
      </c>
      <c r="C20" s="540">
        <v>7.1529059999999998</v>
      </c>
      <c r="E20" s="290"/>
      <c r="F20" s="242" t="s">
        <v>306</v>
      </c>
      <c r="G20" s="254">
        <f t="shared" si="0"/>
        <v>660.54972163368939</v>
      </c>
      <c r="I20" s="255"/>
      <c r="J20" s="582"/>
      <c r="K20" s="242" t="s">
        <v>306</v>
      </c>
      <c r="L20" s="256">
        <v>660.54972163368939</v>
      </c>
      <c r="M20" s="257">
        <f t="shared" si="1"/>
        <v>7.1529059999999998</v>
      </c>
      <c r="N20" s="250"/>
    </row>
    <row r="21" spans="2:14" ht="27" customHeight="1" outlineLevel="1" x14ac:dyDescent="0.25">
      <c r="B21" s="552" t="s">
        <v>367</v>
      </c>
      <c r="C21" s="553">
        <f>SUM(C22:C29)</f>
        <v>294.67112300000002</v>
      </c>
      <c r="D21" s="554"/>
      <c r="E21" s="555"/>
      <c r="F21" s="554"/>
      <c r="G21" s="556"/>
      <c r="H21" s="557"/>
      <c r="I21" s="558"/>
      <c r="J21" s="578"/>
      <c r="K21" s="559"/>
      <c r="L21" s="578"/>
      <c r="M21" s="560">
        <f>SUM(M22:M29)</f>
        <v>294.67112300000002</v>
      </c>
      <c r="N21" s="561">
        <f>C21-M21</f>
        <v>0</v>
      </c>
    </row>
    <row r="22" spans="2:14" ht="27" customHeight="1" outlineLevel="1" x14ac:dyDescent="0.25">
      <c r="B22" s="32" t="s">
        <v>319</v>
      </c>
      <c r="C22" s="17">
        <v>66.693488000000002</v>
      </c>
      <c r="E22" s="290"/>
      <c r="F22" s="242" t="s">
        <v>306</v>
      </c>
      <c r="G22" s="254">
        <f t="shared" ref="G22:G29" si="2">C22*1000000000/10828717</f>
        <v>6158.9464384377206</v>
      </c>
      <c r="I22" s="255"/>
      <c r="J22" s="582"/>
      <c r="K22" s="242" t="s">
        <v>306</v>
      </c>
      <c r="L22" s="256">
        <v>6158.9464384377206</v>
      </c>
      <c r="M22" s="257">
        <f t="shared" ref="M22:M29" si="3">(10828717*L22/1000000000)</f>
        <v>66.693488000000002</v>
      </c>
      <c r="N22" s="250"/>
    </row>
    <row r="23" spans="2:14" ht="27" customHeight="1" outlineLevel="1" x14ac:dyDescent="0.25">
      <c r="B23" s="32" t="s">
        <v>320</v>
      </c>
      <c r="C23" s="17">
        <v>151.045119</v>
      </c>
      <c r="E23" s="290"/>
      <c r="F23" s="242" t="s">
        <v>306</v>
      </c>
      <c r="G23" s="254">
        <f t="shared" si="2"/>
        <v>13948.570176873216</v>
      </c>
      <c r="I23" s="255"/>
      <c r="J23" s="582"/>
      <c r="K23" s="242" t="s">
        <v>306</v>
      </c>
      <c r="L23" s="256">
        <v>13948.570176873216</v>
      </c>
      <c r="M23" s="257">
        <f t="shared" si="3"/>
        <v>151.045119</v>
      </c>
      <c r="N23" s="250"/>
    </row>
    <row r="24" spans="2:14" ht="27" customHeight="1" outlineLevel="1" x14ac:dyDescent="0.25">
      <c r="B24" s="32" t="s">
        <v>321</v>
      </c>
      <c r="C24" s="17">
        <v>0.66384100000000001</v>
      </c>
      <c r="E24" s="290"/>
      <c r="F24" s="242" t="s">
        <v>306</v>
      </c>
      <c r="G24" s="254">
        <f t="shared" si="2"/>
        <v>61.303753713390051</v>
      </c>
      <c r="I24" s="255"/>
      <c r="J24" s="582"/>
      <c r="K24" s="242" t="s">
        <v>306</v>
      </c>
      <c r="L24" s="256">
        <v>61.303753713390051</v>
      </c>
      <c r="M24" s="257">
        <f t="shared" si="3"/>
        <v>0.66384100000000001</v>
      </c>
      <c r="N24" s="250"/>
    </row>
    <row r="25" spans="2:14" ht="27" customHeight="1" outlineLevel="1" x14ac:dyDescent="0.25">
      <c r="B25" s="32" t="s">
        <v>322</v>
      </c>
      <c r="C25" s="17">
        <v>40.363419999999998</v>
      </c>
      <c r="E25" s="290"/>
      <c r="F25" s="242" t="s">
        <v>306</v>
      </c>
      <c r="G25" s="254">
        <f t="shared" si="2"/>
        <v>3727.4425031146347</v>
      </c>
      <c r="I25" s="255"/>
      <c r="J25" s="582"/>
      <c r="K25" s="242" t="s">
        <v>306</v>
      </c>
      <c r="L25" s="256">
        <v>3727.4425031146347</v>
      </c>
      <c r="M25" s="257">
        <f t="shared" si="3"/>
        <v>40.363419999999998</v>
      </c>
      <c r="N25" s="250"/>
    </row>
    <row r="26" spans="2:14" ht="27" customHeight="1" outlineLevel="1" x14ac:dyDescent="0.25">
      <c r="B26" s="32" t="s">
        <v>323</v>
      </c>
      <c r="C26" s="17">
        <v>16.175706999999999</v>
      </c>
      <c r="E26" s="290"/>
      <c r="F26" s="242" t="s">
        <v>306</v>
      </c>
      <c r="G26" s="254">
        <f t="shared" si="2"/>
        <v>1493.7787181990259</v>
      </c>
      <c r="I26" s="255"/>
      <c r="J26" s="582"/>
      <c r="K26" s="242" t="s">
        <v>306</v>
      </c>
      <c r="L26" s="256">
        <v>1493.7787181990259</v>
      </c>
      <c r="M26" s="257">
        <f t="shared" si="3"/>
        <v>16.175707000000003</v>
      </c>
      <c r="N26" s="250"/>
    </row>
    <row r="27" spans="2:14" ht="27" customHeight="1" outlineLevel="1" x14ac:dyDescent="0.25">
      <c r="B27" s="32" t="s">
        <v>324</v>
      </c>
      <c r="C27" s="17">
        <v>15.531356000000001</v>
      </c>
      <c r="E27" s="290"/>
      <c r="F27" s="242" t="s">
        <v>306</v>
      </c>
      <c r="G27" s="254">
        <f t="shared" si="2"/>
        <v>1434.2748083637239</v>
      </c>
      <c r="I27" s="255"/>
      <c r="J27" s="582"/>
      <c r="K27" s="242" t="s">
        <v>306</v>
      </c>
      <c r="L27" s="256">
        <v>1434.2748083637239</v>
      </c>
      <c r="M27" s="257">
        <f t="shared" si="3"/>
        <v>15.531355999999999</v>
      </c>
      <c r="N27" s="250"/>
    </row>
    <row r="28" spans="2:14" ht="27" customHeight="1" outlineLevel="1" x14ac:dyDescent="0.25">
      <c r="B28" s="32" t="s">
        <v>325</v>
      </c>
      <c r="C28" s="17">
        <v>3.696456</v>
      </c>
      <c r="E28" s="290"/>
      <c r="F28" s="242" t="s">
        <v>306</v>
      </c>
      <c r="G28" s="254">
        <f t="shared" si="2"/>
        <v>341.35678307965753</v>
      </c>
      <c r="I28" s="255"/>
      <c r="J28" s="582"/>
      <c r="K28" s="242" t="s">
        <v>306</v>
      </c>
      <c r="L28" s="256">
        <v>341.35678307965753</v>
      </c>
      <c r="M28" s="257">
        <f t="shared" si="3"/>
        <v>3.696456</v>
      </c>
      <c r="N28" s="250"/>
    </row>
    <row r="29" spans="2:14" ht="27" customHeight="1" outlineLevel="1" x14ac:dyDescent="0.25">
      <c r="B29" s="32" t="s">
        <v>326</v>
      </c>
      <c r="C29" s="540">
        <v>0.50173599999999996</v>
      </c>
      <c r="E29" s="290"/>
      <c r="F29" s="242" t="s">
        <v>306</v>
      </c>
      <c r="G29" s="254">
        <f t="shared" si="2"/>
        <v>46.333836224549955</v>
      </c>
      <c r="I29" s="255"/>
      <c r="J29" s="582"/>
      <c r="K29" s="258" t="s">
        <v>306</v>
      </c>
      <c r="L29" s="259">
        <v>46.333836224549955</v>
      </c>
      <c r="M29" s="257">
        <f t="shared" si="3"/>
        <v>0.50173599999999996</v>
      </c>
      <c r="N29" s="250"/>
    </row>
    <row r="30" spans="2:14" ht="27" customHeight="1" outlineLevel="1" x14ac:dyDescent="0.25">
      <c r="B30" s="552" t="s">
        <v>344</v>
      </c>
      <c r="C30" s="553">
        <f>SUM(C31:C43)</f>
        <v>83.015424999999922</v>
      </c>
      <c r="D30" s="554"/>
      <c r="E30" s="555"/>
      <c r="F30" s="554"/>
      <c r="G30" s="556"/>
      <c r="H30" s="557"/>
      <c r="I30" s="558"/>
      <c r="J30" s="578"/>
      <c r="K30" s="291"/>
      <c r="L30" s="582"/>
      <c r="M30" s="560">
        <f>SUM(M31:M43)</f>
        <v>83.015424999999922</v>
      </c>
      <c r="N30" s="561">
        <f>C30-M30</f>
        <v>0</v>
      </c>
    </row>
    <row r="31" spans="2:14" ht="27" customHeight="1" outlineLevel="1" x14ac:dyDescent="0.25">
      <c r="B31" s="32" t="s">
        <v>327</v>
      </c>
      <c r="C31" s="17">
        <v>4.590573</v>
      </c>
      <c r="E31" s="290"/>
      <c r="F31" s="242" t="s">
        <v>306</v>
      </c>
      <c r="G31" s="254">
        <f t="shared" ref="G31:G44" si="4">C31*1000000000/10828717</f>
        <v>423.92584458528188</v>
      </c>
      <c r="I31" s="255"/>
      <c r="J31" s="582"/>
      <c r="K31" s="242" t="s">
        <v>306</v>
      </c>
      <c r="L31" s="256">
        <v>423.92584458528188</v>
      </c>
      <c r="M31" s="257">
        <f t="shared" ref="M31:M42" si="5">(10828717*L31/1000000000)</f>
        <v>4.590573</v>
      </c>
      <c r="N31" s="250"/>
    </row>
    <row r="32" spans="2:14" ht="27" customHeight="1" outlineLevel="1" x14ac:dyDescent="0.25">
      <c r="B32" s="32" t="s">
        <v>328</v>
      </c>
      <c r="C32" s="17">
        <v>8.4323999999999996E-2</v>
      </c>
      <c r="E32" s="290"/>
      <c r="F32" s="242" t="s">
        <v>306</v>
      </c>
      <c r="G32" s="254">
        <f t="shared" si="4"/>
        <v>7.7870720972761589</v>
      </c>
      <c r="I32" s="255"/>
      <c r="J32" s="582"/>
      <c r="K32" s="242" t="s">
        <v>306</v>
      </c>
      <c r="L32" s="256">
        <v>7.7870720972761589</v>
      </c>
      <c r="M32" s="257">
        <f t="shared" si="5"/>
        <v>8.4323999999999996E-2</v>
      </c>
      <c r="N32" s="250"/>
    </row>
    <row r="33" spans="2:14" ht="27" customHeight="1" outlineLevel="1" x14ac:dyDescent="0.25">
      <c r="B33" s="32" t="s">
        <v>329</v>
      </c>
      <c r="C33" s="17">
        <v>5.4649999999999997E-2</v>
      </c>
      <c r="E33" s="290"/>
      <c r="F33" s="242" t="s">
        <v>306</v>
      </c>
      <c r="G33" s="254">
        <f t="shared" si="4"/>
        <v>5.0467659280411521</v>
      </c>
      <c r="I33" s="255"/>
      <c r="J33" s="582"/>
      <c r="K33" s="242" t="s">
        <v>306</v>
      </c>
      <c r="L33" s="256">
        <v>5.0467659280411521</v>
      </c>
      <c r="M33" s="257">
        <f t="shared" si="5"/>
        <v>5.4649999999999997E-2</v>
      </c>
      <c r="N33" s="250"/>
    </row>
    <row r="34" spans="2:14" ht="27" customHeight="1" outlineLevel="1" x14ac:dyDescent="0.25">
      <c r="B34" s="32" t="s">
        <v>330</v>
      </c>
      <c r="C34" s="17">
        <v>2.4133390000000001</v>
      </c>
      <c r="E34" s="290"/>
      <c r="F34" s="242" t="s">
        <v>306</v>
      </c>
      <c r="G34" s="254">
        <f t="shared" si="4"/>
        <v>222.8647216470797</v>
      </c>
      <c r="I34" s="255"/>
      <c r="J34" s="582"/>
      <c r="K34" s="242" t="s">
        <v>306</v>
      </c>
      <c r="L34" s="256">
        <v>222.8647216470797</v>
      </c>
      <c r="M34" s="257">
        <f t="shared" si="5"/>
        <v>2.4133390000000001</v>
      </c>
      <c r="N34" s="250"/>
    </row>
    <row r="35" spans="2:14" ht="27" customHeight="1" outlineLevel="1" x14ac:dyDescent="0.25">
      <c r="B35" s="32" t="s">
        <v>331</v>
      </c>
      <c r="C35" s="17">
        <v>6.4232740000000002</v>
      </c>
      <c r="E35" s="290"/>
      <c r="F35" s="242" t="s">
        <v>306</v>
      </c>
      <c r="G35" s="254">
        <f t="shared" si="4"/>
        <v>593.17036358046846</v>
      </c>
      <c r="I35" s="255"/>
      <c r="J35" s="582"/>
      <c r="K35" s="242" t="s">
        <v>306</v>
      </c>
      <c r="L35" s="256">
        <v>593.17036358046846</v>
      </c>
      <c r="M35" s="257">
        <f t="shared" si="5"/>
        <v>6.4232740000000002</v>
      </c>
      <c r="N35" s="250"/>
    </row>
    <row r="36" spans="2:14" ht="27" customHeight="1" outlineLevel="1" x14ac:dyDescent="0.25">
      <c r="B36" s="32" t="s">
        <v>332</v>
      </c>
      <c r="C36" s="17">
        <v>35.081147819792399</v>
      </c>
      <c r="E36" s="290"/>
      <c r="F36" s="242" t="s">
        <v>306</v>
      </c>
      <c r="G36" s="254">
        <f t="shared" si="4"/>
        <v>3239.6402842361099</v>
      </c>
      <c r="I36" s="255"/>
      <c r="J36" s="582"/>
      <c r="K36" s="242" t="s">
        <v>306</v>
      </c>
      <c r="L36" s="256">
        <v>3239.6402842361099</v>
      </c>
      <c r="M36" s="257">
        <f t="shared" si="5"/>
        <v>35.081147819792399</v>
      </c>
      <c r="N36" s="250"/>
    </row>
    <row r="37" spans="2:14" ht="27" customHeight="1" outlineLevel="1" x14ac:dyDescent="0.25">
      <c r="B37" s="32" t="s">
        <v>333</v>
      </c>
      <c r="C37" s="17">
        <v>16.4753781802075</v>
      </c>
      <c r="E37" s="290"/>
      <c r="F37" s="242" t="s">
        <v>306</v>
      </c>
      <c r="G37" s="254">
        <f t="shared" si="4"/>
        <v>1521.4524657175452</v>
      </c>
      <c r="I37" s="255"/>
      <c r="J37" s="582"/>
      <c r="K37" s="242" t="s">
        <v>306</v>
      </c>
      <c r="L37" s="256">
        <v>1521.4524657175452</v>
      </c>
      <c r="M37" s="257">
        <f t="shared" si="5"/>
        <v>16.4753781802075</v>
      </c>
      <c r="N37" s="250"/>
    </row>
    <row r="38" spans="2:14" ht="27" customHeight="1" outlineLevel="1" x14ac:dyDescent="0.25">
      <c r="B38" s="32" t="s">
        <v>334</v>
      </c>
      <c r="C38" s="17">
        <v>8.296367</v>
      </c>
      <c r="E38" s="290"/>
      <c r="F38" s="242" t="s">
        <v>306</v>
      </c>
      <c r="G38" s="254">
        <f t="shared" si="4"/>
        <v>766.14496435727335</v>
      </c>
      <c r="I38" s="255"/>
      <c r="J38" s="582"/>
      <c r="K38" s="242" t="s">
        <v>306</v>
      </c>
      <c r="L38" s="256">
        <v>766.14496435727335</v>
      </c>
      <c r="M38" s="257">
        <f t="shared" si="5"/>
        <v>8.296367</v>
      </c>
      <c r="N38" s="250"/>
    </row>
    <row r="39" spans="2:14" ht="27" customHeight="1" outlineLevel="1" x14ac:dyDescent="0.25">
      <c r="B39" s="32" t="s">
        <v>335</v>
      </c>
      <c r="C39" s="17">
        <v>5.7611080000000001</v>
      </c>
      <c r="E39" s="290"/>
      <c r="F39" s="242" t="s">
        <v>306</v>
      </c>
      <c r="G39" s="254">
        <f t="shared" si="4"/>
        <v>532.0212911649644</v>
      </c>
      <c r="I39" s="255"/>
      <c r="J39" s="582"/>
      <c r="K39" s="242" t="s">
        <v>306</v>
      </c>
      <c r="L39" s="256">
        <v>532.0212911649644</v>
      </c>
      <c r="M39" s="257">
        <f t="shared" si="5"/>
        <v>5.7611080000000001</v>
      </c>
      <c r="N39" s="250"/>
    </row>
    <row r="40" spans="2:14" ht="27" customHeight="1" outlineLevel="1" x14ac:dyDescent="0.25">
      <c r="B40" s="32" t="s">
        <v>336</v>
      </c>
      <c r="C40" s="17">
        <v>1.597728</v>
      </c>
      <c r="E40" s="290"/>
      <c r="F40" s="242" t="s">
        <v>306</v>
      </c>
      <c r="G40" s="254">
        <f t="shared" si="4"/>
        <v>147.54545713956696</v>
      </c>
      <c r="I40" s="255"/>
      <c r="J40" s="582"/>
      <c r="K40" s="242" t="s">
        <v>306</v>
      </c>
      <c r="L40" s="256">
        <v>147.54545713956696</v>
      </c>
      <c r="M40" s="257">
        <f t="shared" si="5"/>
        <v>1.5977280000000003</v>
      </c>
      <c r="N40" s="250"/>
    </row>
    <row r="41" spans="2:14" ht="27" customHeight="1" outlineLevel="1" x14ac:dyDescent="0.25">
      <c r="B41" s="32" t="s">
        <v>337</v>
      </c>
      <c r="C41" s="17">
        <v>0.46594000000000002</v>
      </c>
      <c r="E41" s="290"/>
      <c r="F41" s="242" t="s">
        <v>306</v>
      </c>
      <c r="G41" s="254">
        <f t="shared" si="4"/>
        <v>43.028181454922127</v>
      </c>
      <c r="I41" s="255"/>
      <c r="J41" s="582"/>
      <c r="K41" s="242" t="s">
        <v>306</v>
      </c>
      <c r="L41" s="256">
        <v>43.028181454922127</v>
      </c>
      <c r="M41" s="257">
        <f t="shared" si="5"/>
        <v>0.46593999999999997</v>
      </c>
      <c r="N41" s="250"/>
    </row>
    <row r="42" spans="2:14" ht="27" customHeight="1" outlineLevel="1" x14ac:dyDescent="0.25">
      <c r="B42" s="32" t="s">
        <v>369</v>
      </c>
      <c r="C42" s="17">
        <v>1.2902960000000001</v>
      </c>
      <c r="E42" s="290"/>
      <c r="F42" s="242" t="s">
        <v>306</v>
      </c>
      <c r="G42" s="254">
        <f t="shared" si="4"/>
        <v>119.15502085796498</v>
      </c>
      <c r="I42" s="255"/>
      <c r="J42" s="582"/>
      <c r="K42" s="242" t="s">
        <v>306</v>
      </c>
      <c r="L42" s="256">
        <v>119.15502085796498</v>
      </c>
      <c r="M42" s="257">
        <f t="shared" si="5"/>
        <v>1.2902960000000001</v>
      </c>
      <c r="N42" s="250"/>
    </row>
    <row r="43" spans="2:14" ht="27" customHeight="1" outlineLevel="1" x14ac:dyDescent="0.25">
      <c r="B43" s="32" t="s">
        <v>370</v>
      </c>
      <c r="C43" s="540">
        <v>0.48130000000000001</v>
      </c>
      <c r="E43" s="290"/>
      <c r="F43" s="242" t="s">
        <v>306</v>
      </c>
      <c r="G43" s="254">
        <f t="shared" si="4"/>
        <v>44.446632043297463</v>
      </c>
      <c r="I43" s="255"/>
      <c r="J43" s="582"/>
      <c r="K43" s="242" t="s">
        <v>306</v>
      </c>
      <c r="L43" s="256">
        <v>44.446632043297463</v>
      </c>
      <c r="M43" s="257">
        <f>(10828717*L43/1000000000)</f>
        <v>0.48129999999999995</v>
      </c>
      <c r="N43" s="250"/>
    </row>
    <row r="44" spans="2:14" ht="27" customHeight="1" outlineLevel="1" x14ac:dyDescent="0.25">
      <c r="B44" s="562" t="s">
        <v>338</v>
      </c>
      <c r="C44" s="563">
        <v>2.9097300000000001</v>
      </c>
      <c r="D44" s="554"/>
      <c r="E44" s="555"/>
      <c r="F44" s="554" t="s">
        <v>306</v>
      </c>
      <c r="G44" s="556">
        <f t="shared" si="4"/>
        <v>268.70496292404721</v>
      </c>
      <c r="H44" s="564"/>
      <c r="I44" s="565"/>
      <c r="J44" s="584"/>
      <c r="K44" s="566"/>
      <c r="L44" s="567">
        <v>268.70496292404721</v>
      </c>
      <c r="M44" s="568">
        <f>(10828717*L44/1000000000)</f>
        <v>2.9097299999999997</v>
      </c>
      <c r="N44" s="569">
        <f>C44-M44</f>
        <v>0</v>
      </c>
    </row>
    <row r="45" spans="2:14" ht="27" customHeight="1" outlineLevel="1" x14ac:dyDescent="0.25">
      <c r="B45" s="570" t="s">
        <v>339</v>
      </c>
      <c r="C45" s="541">
        <f>SUM(C46:C49)</f>
        <v>11.218096000000001</v>
      </c>
      <c r="D45" s="554"/>
      <c r="E45" s="555"/>
      <c r="F45" s="554"/>
      <c r="G45" s="556"/>
      <c r="I45" s="558"/>
      <c r="J45" s="582"/>
      <c r="K45" s="292"/>
      <c r="L45" s="582"/>
      <c r="M45" s="560">
        <f>SUM(M46:M49)</f>
        <v>11.218096000000001</v>
      </c>
      <c r="N45" s="260">
        <f>C45-M45</f>
        <v>0</v>
      </c>
    </row>
    <row r="46" spans="2:14" ht="27" customHeight="1" outlineLevel="1" x14ac:dyDescent="0.25">
      <c r="B46" s="67" t="s">
        <v>340</v>
      </c>
      <c r="C46" s="17">
        <v>5.8318940000000001</v>
      </c>
      <c r="D46" s="542" t="s">
        <v>341</v>
      </c>
      <c r="E46" s="241">
        <v>6298</v>
      </c>
      <c r="F46" s="242" t="s">
        <v>342</v>
      </c>
      <c r="G46" s="254">
        <f>C46*1000000000/E46/12</f>
        <v>77165.952154123006</v>
      </c>
      <c r="H46" s="249"/>
      <c r="I46" s="242" t="s">
        <v>341</v>
      </c>
      <c r="J46" s="256">
        <v>6298</v>
      </c>
      <c r="K46" s="242" t="s">
        <v>342</v>
      </c>
      <c r="L46" s="333">
        <v>77165.952154123006</v>
      </c>
      <c r="M46" s="257">
        <f>J46*L46*12/1000000000</f>
        <v>5.8318940000000001</v>
      </c>
      <c r="N46" s="250"/>
    </row>
    <row r="47" spans="2:14" ht="27" customHeight="1" outlineLevel="1" x14ac:dyDescent="0.25">
      <c r="B47" s="16" t="s">
        <v>343</v>
      </c>
      <c r="C47" s="17">
        <v>1.9494020000000001</v>
      </c>
      <c r="F47" s="242" t="s">
        <v>306</v>
      </c>
      <c r="G47" s="254">
        <f>C47*1000000000/10828717</f>
        <v>180.02151132031616</v>
      </c>
      <c r="I47" s="255"/>
      <c r="J47" s="582"/>
      <c r="K47" s="242" t="s">
        <v>306</v>
      </c>
      <c r="L47" s="256">
        <v>180.02151132031616</v>
      </c>
      <c r="M47" s="257">
        <f>(10828717*L47/1000000000)</f>
        <v>1.9494020000000001</v>
      </c>
      <c r="N47" s="250"/>
    </row>
    <row r="48" spans="2:14" ht="27" customHeight="1" outlineLevel="1" x14ac:dyDescent="0.25">
      <c r="B48" s="16" t="s">
        <v>344</v>
      </c>
      <c r="C48" s="17">
        <v>3.1820810000000002</v>
      </c>
      <c r="G48" s="254"/>
      <c r="I48" s="255"/>
      <c r="J48" s="582"/>
      <c r="K48" s="291" t="s">
        <v>115</v>
      </c>
      <c r="L48" s="256">
        <v>0</v>
      </c>
      <c r="M48" s="257">
        <f>(C48)+(C48)/100*L48</f>
        <v>3.1820810000000002</v>
      </c>
      <c r="N48" s="250"/>
    </row>
    <row r="49" spans="2:16" ht="27" customHeight="1" outlineLevel="1" x14ac:dyDescent="0.25">
      <c r="B49" s="16" t="s">
        <v>345</v>
      </c>
      <c r="C49" s="540">
        <v>0.25471899999999997</v>
      </c>
      <c r="G49" s="254"/>
      <c r="I49" s="255"/>
      <c r="J49" s="582"/>
      <c r="K49" s="291" t="s">
        <v>115</v>
      </c>
      <c r="L49" s="256">
        <v>0</v>
      </c>
      <c r="M49" s="257">
        <f t="shared" ref="M49:M51" si="6">(C49)+(C49)/100*L49</f>
        <v>0.25471899999999997</v>
      </c>
      <c r="N49" s="250"/>
    </row>
    <row r="50" spans="2:16" ht="27" customHeight="1" outlineLevel="1" x14ac:dyDescent="0.25">
      <c r="B50" s="562" t="s">
        <v>346</v>
      </c>
      <c r="C50" s="563">
        <v>1.2558717572633</v>
      </c>
      <c r="D50" s="554"/>
      <c r="E50" s="555"/>
      <c r="F50" s="554"/>
      <c r="G50" s="556"/>
      <c r="H50" s="564"/>
      <c r="I50" s="558"/>
      <c r="J50" s="578"/>
      <c r="K50" s="583" t="s">
        <v>115</v>
      </c>
      <c r="L50" s="567">
        <v>0</v>
      </c>
      <c r="M50" s="568">
        <f t="shared" si="6"/>
        <v>1.2558717572633</v>
      </c>
      <c r="N50" s="569">
        <f>C50-M50</f>
        <v>0</v>
      </c>
    </row>
    <row r="51" spans="2:16" ht="27" customHeight="1" outlineLevel="1" x14ac:dyDescent="0.25">
      <c r="B51" s="562" t="s">
        <v>368</v>
      </c>
      <c r="C51" s="541">
        <v>3.9166583679999999E-2</v>
      </c>
      <c r="D51" s="554"/>
      <c r="E51" s="555"/>
      <c r="F51" s="554"/>
      <c r="G51" s="556"/>
      <c r="I51" s="558"/>
      <c r="J51" s="578"/>
      <c r="K51" s="583" t="s">
        <v>115</v>
      </c>
      <c r="L51" s="256">
        <v>0</v>
      </c>
      <c r="M51" s="571">
        <f t="shared" si="6"/>
        <v>3.9166583679999999E-2</v>
      </c>
      <c r="N51" s="250">
        <f>C51-M51</f>
        <v>0</v>
      </c>
    </row>
    <row r="52" spans="2:16" s="8" customFormat="1" ht="27" customHeight="1" thickBot="1" x14ac:dyDescent="0.3">
      <c r="B52" s="293" t="s">
        <v>62</v>
      </c>
      <c r="C52" s="294">
        <f>SUM(C6,C44,C45,C50,C51)</f>
        <v>541.80578334094321</v>
      </c>
      <c r="D52" s="295"/>
      <c r="E52" s="296"/>
      <c r="F52" s="295"/>
      <c r="G52" s="297"/>
      <c r="H52" s="298"/>
      <c r="I52" s="299"/>
      <c r="J52" s="300"/>
      <c r="K52" s="301"/>
      <c r="L52" s="296"/>
      <c r="M52" s="302">
        <f>M6+M44+M45+M50+M51</f>
        <v>541.80578334094321</v>
      </c>
      <c r="N52" s="303">
        <f>N6+N44+N45+N50+N51</f>
        <v>0</v>
      </c>
    </row>
    <row r="53" spans="2:16" s="8" customFormat="1" ht="27" customHeight="1" thickBot="1" x14ac:dyDescent="0.3">
      <c r="B53" s="238"/>
      <c r="C53" s="245"/>
      <c r="D53" s="242"/>
      <c r="E53" s="241"/>
      <c r="F53" s="242"/>
      <c r="G53" s="241"/>
      <c r="H53" s="238"/>
      <c r="I53" s="242"/>
      <c r="J53" s="243"/>
      <c r="K53" s="244"/>
      <c r="L53" s="241"/>
      <c r="M53" s="245"/>
      <c r="N53" s="246"/>
    </row>
    <row r="54" spans="2:16" s="239" customFormat="1" ht="27" customHeight="1" x14ac:dyDescent="0.25">
      <c r="B54" s="304" t="s">
        <v>347</v>
      </c>
      <c r="C54" s="543">
        <f>C55+C56+C57+0.000255</f>
        <v>366.09898900000002</v>
      </c>
      <c r="D54" s="305"/>
      <c r="E54" s="306"/>
      <c r="F54" s="305"/>
      <c r="G54" s="307"/>
      <c r="H54" s="308"/>
      <c r="I54" s="309"/>
      <c r="J54" s="581"/>
      <c r="K54" s="310"/>
      <c r="L54" s="581"/>
      <c r="M54" s="311">
        <f>M55+M56+M57+0.000255</f>
        <v>366.09898900015679</v>
      </c>
      <c r="N54" s="312">
        <f>C54-M54</f>
        <v>-1.5677414921810851E-10</v>
      </c>
    </row>
    <row r="55" spans="2:16" s="239" customFormat="1" ht="22.9" customHeight="1" x14ac:dyDescent="0.25">
      <c r="B55" s="16" t="s">
        <v>348</v>
      </c>
      <c r="C55" s="17">
        <v>332.93893800000001</v>
      </c>
      <c r="D55" s="242" t="s">
        <v>457</v>
      </c>
      <c r="E55" s="245">
        <v>13.5</v>
      </c>
      <c r="F55" s="242" t="s">
        <v>349</v>
      </c>
      <c r="G55" s="254">
        <f>(C55*1000000000)/12/0.135/4767243</f>
        <v>43110.423144564469</v>
      </c>
      <c r="H55" s="347"/>
      <c r="I55" s="242" t="s">
        <v>457</v>
      </c>
      <c r="J55" s="576">
        <v>13.5</v>
      </c>
      <c r="K55" s="242" t="s">
        <v>349</v>
      </c>
      <c r="L55" s="256">
        <v>43110.423144564469</v>
      </c>
      <c r="M55" s="257">
        <f>L55*(J55/100)*12*4767243/1000000000</f>
        <v>332.93893800000001</v>
      </c>
      <c r="N55" s="250"/>
    </row>
    <row r="56" spans="2:16" s="239" customFormat="1" ht="24.6" customHeight="1" x14ac:dyDescent="0.25">
      <c r="B56" s="16" t="s">
        <v>350</v>
      </c>
      <c r="C56" s="17">
        <v>27.401805</v>
      </c>
      <c r="D56" s="242" t="s">
        <v>457</v>
      </c>
      <c r="E56" s="245">
        <v>13.5</v>
      </c>
      <c r="F56" s="242" t="s">
        <v>349</v>
      </c>
      <c r="G56" s="254">
        <v>23278.5</v>
      </c>
      <c r="H56" s="347"/>
      <c r="I56" s="242" t="s">
        <v>457</v>
      </c>
      <c r="J56" s="576">
        <v>13.5</v>
      </c>
      <c r="K56" s="242" t="s">
        <v>349</v>
      </c>
      <c r="L56" s="256">
        <v>23278.5</v>
      </c>
      <c r="M56" s="257">
        <f>L56*(J56/100)*12*726623.04/1000000000</f>
        <v>27.401804987356805</v>
      </c>
      <c r="N56" s="250"/>
    </row>
    <row r="57" spans="2:16" s="239" customFormat="1" ht="39.75" customHeight="1" x14ac:dyDescent="0.25">
      <c r="B57" s="67" t="s">
        <v>351</v>
      </c>
      <c r="C57" s="544">
        <v>5.7579909999999996</v>
      </c>
      <c r="D57" s="242" t="s">
        <v>457</v>
      </c>
      <c r="E57" s="245">
        <v>13.5</v>
      </c>
      <c r="F57" s="242" t="s">
        <v>349</v>
      </c>
      <c r="G57" s="545">
        <v>20800</v>
      </c>
      <c r="H57" s="347"/>
      <c r="I57" s="242" t="s">
        <v>457</v>
      </c>
      <c r="J57" s="576">
        <v>13.5</v>
      </c>
      <c r="K57" s="242" t="s">
        <v>349</v>
      </c>
      <c r="L57" s="256">
        <v>20800</v>
      </c>
      <c r="M57" s="257">
        <f>L57*(J57/100)*12*170880.55/1000000000</f>
        <v>5.7579910127999989</v>
      </c>
      <c r="N57" s="250"/>
    </row>
    <row r="58" spans="2:16" ht="27" customHeight="1" outlineLevel="1" x14ac:dyDescent="0.25">
      <c r="B58" s="562" t="s">
        <v>352</v>
      </c>
      <c r="C58" s="563">
        <v>158.94999999999999</v>
      </c>
      <c r="D58" s="572" t="s">
        <v>457</v>
      </c>
      <c r="E58" s="573">
        <v>13.5</v>
      </c>
      <c r="F58" s="572" t="s">
        <v>349</v>
      </c>
      <c r="G58" s="254">
        <v>15749</v>
      </c>
      <c r="H58" s="546"/>
      <c r="I58" s="572" t="s">
        <v>457</v>
      </c>
      <c r="J58" s="577">
        <v>13.5</v>
      </c>
      <c r="K58" s="572" t="s">
        <v>349</v>
      </c>
      <c r="L58" s="567">
        <v>15749</v>
      </c>
      <c r="M58" s="568">
        <f>L58*(J58/100)*12*6230064.38190471/1000000000</f>
        <v>158.95000000000002</v>
      </c>
      <c r="N58" s="569">
        <f>C58-M58</f>
        <v>0</v>
      </c>
      <c r="P58" s="239"/>
    </row>
    <row r="59" spans="2:16" ht="27" customHeight="1" outlineLevel="1" x14ac:dyDescent="0.25">
      <c r="B59" s="574" t="s">
        <v>353</v>
      </c>
      <c r="C59" s="563">
        <v>3.42</v>
      </c>
      <c r="D59" s="554"/>
      <c r="E59" s="555"/>
      <c r="F59" s="554"/>
      <c r="G59" s="556"/>
      <c r="H59" s="564"/>
      <c r="I59" s="558"/>
      <c r="J59" s="578"/>
      <c r="K59" s="554"/>
      <c r="L59" s="579"/>
      <c r="M59" s="73">
        <v>3.42</v>
      </c>
      <c r="N59" s="569">
        <f>C59-M59</f>
        <v>0</v>
      </c>
    </row>
    <row r="60" spans="2:16" ht="27" customHeight="1" outlineLevel="1" x14ac:dyDescent="0.25">
      <c r="B60" s="562" t="s">
        <v>354</v>
      </c>
      <c r="C60" s="563">
        <v>2.76</v>
      </c>
      <c r="D60" s="554"/>
      <c r="E60" s="555"/>
      <c r="F60" s="554"/>
      <c r="G60" s="556"/>
      <c r="H60" s="564"/>
      <c r="I60" s="558"/>
      <c r="J60" s="578"/>
      <c r="K60" s="554"/>
      <c r="L60" s="579"/>
      <c r="M60" s="575">
        <v>2.76</v>
      </c>
      <c r="N60" s="569">
        <f>C60-M60</f>
        <v>0</v>
      </c>
    </row>
    <row r="61" spans="2:16" ht="27" customHeight="1" outlineLevel="1" x14ac:dyDescent="0.25">
      <c r="B61" s="562" t="s">
        <v>355</v>
      </c>
      <c r="C61" s="563">
        <v>0.08</v>
      </c>
      <c r="D61" s="554"/>
      <c r="E61" s="555"/>
      <c r="F61" s="554"/>
      <c r="G61" s="556"/>
      <c r="H61" s="564"/>
      <c r="I61" s="558"/>
      <c r="J61" s="578"/>
      <c r="K61" s="554"/>
      <c r="L61" s="580"/>
      <c r="M61" s="547">
        <v>0.08</v>
      </c>
      <c r="N61" s="569">
        <f>C61-M61</f>
        <v>0</v>
      </c>
    </row>
    <row r="62" spans="2:16" s="239" customFormat="1" ht="27" customHeight="1" thickBot="1" x14ac:dyDescent="0.3">
      <c r="B62" s="318" t="s">
        <v>61</v>
      </c>
      <c r="C62" s="319">
        <f>C54+C58+C59+C60+C61</f>
        <v>531.308989</v>
      </c>
      <c r="D62" s="320"/>
      <c r="E62" s="321"/>
      <c r="F62" s="320"/>
      <c r="G62" s="322"/>
      <c r="H62" s="323"/>
      <c r="I62" s="324"/>
      <c r="J62" s="325"/>
      <c r="K62" s="326"/>
      <c r="L62" s="327"/>
      <c r="M62" s="348">
        <f>M54+M58+M59+M60+M61</f>
        <v>531.30898900015677</v>
      </c>
      <c r="N62" s="328">
        <f>M62-C62</f>
        <v>1.5677414921810851E-10</v>
      </c>
    </row>
    <row r="63" spans="2:16" s="239" customFormat="1" ht="27" customHeight="1" thickBot="1" x14ac:dyDescent="0.3">
      <c r="C63" s="330"/>
      <c r="D63" s="313"/>
      <c r="E63" s="314"/>
      <c r="F63" s="313"/>
      <c r="G63" s="314"/>
      <c r="I63" s="331"/>
      <c r="J63" s="315"/>
      <c r="K63" s="316"/>
      <c r="L63" s="317"/>
      <c r="M63" s="332"/>
      <c r="N63" s="329"/>
    </row>
    <row r="64" spans="2:16" s="239" customFormat="1" ht="27" customHeight="1" thickBot="1" x14ac:dyDescent="0.3">
      <c r="B64" s="334" t="s">
        <v>458</v>
      </c>
      <c r="C64" s="335">
        <f>C62-C52</f>
        <v>-10.496794340943211</v>
      </c>
      <c r="D64" s="336"/>
      <c r="E64" s="337"/>
      <c r="F64" s="336"/>
      <c r="G64" s="338"/>
      <c r="H64" s="339"/>
      <c r="I64" s="340"/>
      <c r="J64" s="341"/>
      <c r="K64" s="342"/>
      <c r="L64" s="337"/>
      <c r="M64" s="343">
        <f>M62-M52</f>
        <v>-10.496794340786437</v>
      </c>
      <c r="N64" s="344">
        <f>M64-C64</f>
        <v>1.5677414921810851E-10</v>
      </c>
    </row>
  </sheetData>
  <sheetProtection algorithmName="SHA-512" hashValue="HmrKE7hPa3QdqWWLWgFISPVHY2nIH7mGYSxxK0D2Fq+KExd2BFwflmmZzJ4p6YmmeG6aZ8X6gw8p+g0iXwZVyw==" saltValue="PslRwHMI9FMsjXgs7CVZlg==" spinCount="100000" sheet="1" objects="1" scenarios="1"/>
  <mergeCells count="5">
    <mergeCell ref="B1:N1"/>
    <mergeCell ref="B3:B4"/>
    <mergeCell ref="C3:G3"/>
    <mergeCell ref="I3:M3"/>
    <mergeCell ref="N3:N4"/>
  </mergeCells>
  <conditionalFormatting sqref="M64">
    <cfRule type="cellIs" dxfId="1" priority="1" operator="greaterThan">
      <formula>0</formula>
    </cfRule>
    <cfRule type="cellIs" dxfId="0" priority="2" operator="lessThan">
      <formula>0</formula>
    </cfRule>
  </conditionalFormatting>
  <pageMargins left="0.25" right="0.25" top="0.75" bottom="0.75" header="0.3" footer="0.3"/>
  <pageSetup paperSize="8" scale="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CD140-7C2D-4A99-B71E-40485F82C3B1}">
  <sheetPr>
    <tabColor rgb="FF0070C0"/>
    <pageSetUpPr fitToPage="1"/>
  </sheetPr>
  <dimension ref="B1:I24"/>
  <sheetViews>
    <sheetView zoomScaleNormal="100" workbookViewId="0">
      <selection activeCell="C21" sqref="C21"/>
    </sheetView>
  </sheetViews>
  <sheetFormatPr defaultColWidth="9.28515625" defaultRowHeight="15" x14ac:dyDescent="0.2"/>
  <cols>
    <col min="1" max="1" width="4" style="279" customWidth="1"/>
    <col min="2" max="2" width="51.5703125" style="279" customWidth="1"/>
    <col min="3" max="3" width="147.28515625" style="279" customWidth="1"/>
    <col min="4" max="16384" width="9.28515625" style="279"/>
  </cols>
  <sheetData>
    <row r="1" spans="2:9" ht="27" customHeight="1" x14ac:dyDescent="0.2"/>
    <row r="2" spans="2:9" ht="33.75" x14ac:dyDescent="0.2">
      <c r="C2" s="438" t="s">
        <v>11</v>
      </c>
      <c r="I2" s="280"/>
    </row>
    <row r="3" spans="2:9" ht="49.15" customHeight="1" x14ac:dyDescent="0.2">
      <c r="C3" s="439" t="s">
        <v>12</v>
      </c>
      <c r="H3" s="280"/>
      <c r="I3" s="280"/>
    </row>
    <row r="4" spans="2:9" ht="37.15" customHeight="1" x14ac:dyDescent="0.2">
      <c r="C4" s="439" t="s">
        <v>13</v>
      </c>
      <c r="H4" s="280"/>
      <c r="I4" s="280"/>
    </row>
    <row r="5" spans="2:9" ht="63" customHeight="1" x14ac:dyDescent="0.2">
      <c r="C5" s="281" t="s">
        <v>14</v>
      </c>
      <c r="H5" s="280"/>
      <c r="I5" s="280"/>
    </row>
    <row r="6" spans="2:9" ht="51" customHeight="1" x14ac:dyDescent="0.2">
      <c r="B6" s="76"/>
      <c r="C6" s="281" t="s">
        <v>15</v>
      </c>
      <c r="H6" s="280"/>
      <c r="I6" s="280"/>
    </row>
    <row r="7" spans="2:9" ht="34.9" customHeight="1" x14ac:dyDescent="0.2">
      <c r="C7" s="281" t="s">
        <v>16</v>
      </c>
      <c r="E7" s="280"/>
      <c r="H7" s="280"/>
      <c r="I7" s="280"/>
    </row>
    <row r="8" spans="2:9" ht="54" customHeight="1" x14ac:dyDescent="0.2">
      <c r="C8" s="380" t="s">
        <v>411</v>
      </c>
      <c r="E8" s="280"/>
      <c r="I8" s="280"/>
    </row>
    <row r="9" spans="2:9" ht="52.15" customHeight="1" x14ac:dyDescent="0.35">
      <c r="C9" s="379" t="s">
        <v>412</v>
      </c>
      <c r="E9" s="282"/>
      <c r="I9" s="280"/>
    </row>
    <row r="10" spans="2:9" s="76" customFormat="1" ht="27.6" customHeight="1" x14ac:dyDescent="0.25">
      <c r="C10" s="381" t="s">
        <v>17</v>
      </c>
      <c r="I10" s="77"/>
    </row>
    <row r="11" spans="2:9" ht="80.45" customHeight="1" x14ac:dyDescent="0.2">
      <c r="C11" s="369" t="s">
        <v>413</v>
      </c>
      <c r="I11" s="280"/>
    </row>
    <row r="12" spans="2:9" ht="49.9" customHeight="1" x14ac:dyDescent="0.2">
      <c r="C12" s="369" t="s">
        <v>18</v>
      </c>
      <c r="I12" s="280"/>
    </row>
    <row r="13" spans="2:9" x14ac:dyDescent="0.2">
      <c r="C13" s="283"/>
    </row>
    <row r="14" spans="2:9" x14ac:dyDescent="0.2">
      <c r="C14" s="283" t="s">
        <v>19</v>
      </c>
    </row>
    <row r="15" spans="2:9" ht="35.450000000000003" customHeight="1" x14ac:dyDescent="0.2">
      <c r="C15" s="284" t="s">
        <v>469</v>
      </c>
    </row>
    <row r="16" spans="2:9" x14ac:dyDescent="0.2">
      <c r="C16" s="284" t="s">
        <v>470</v>
      </c>
    </row>
    <row r="18" spans="3:3" x14ac:dyDescent="0.2">
      <c r="C18" s="283" t="s">
        <v>20</v>
      </c>
    </row>
    <row r="19" spans="3:3" x14ac:dyDescent="0.2">
      <c r="C19" s="285" t="s">
        <v>21</v>
      </c>
    </row>
    <row r="20" spans="3:3" x14ac:dyDescent="0.2">
      <c r="C20" s="285" t="s">
        <v>22</v>
      </c>
    </row>
    <row r="21" spans="3:3" x14ac:dyDescent="0.2">
      <c r="C21" s="285" t="s">
        <v>415</v>
      </c>
    </row>
    <row r="22" spans="3:3" x14ac:dyDescent="0.2">
      <c r="C22" s="285" t="s">
        <v>414</v>
      </c>
    </row>
    <row r="23" spans="3:3" x14ac:dyDescent="0.2">
      <c r="C23" s="285" t="s">
        <v>23</v>
      </c>
    </row>
    <row r="24" spans="3:3" x14ac:dyDescent="0.2">
      <c r="C24" s="285"/>
    </row>
  </sheetData>
  <sheetProtection algorithmName="SHA-512" hashValue="BINOEShRWDJpnCAAaHkGlG/QJtBn6aRwQl4xa5I1OBRJ9gVTOSvke0/Poj5BckrjaqeuIv165BF7aiFnKegn/g==" saltValue="unt32k+wRriNlyEAULEBCQ==" spinCount="100000" sheet="1" objects="1" scenarios="1"/>
  <pageMargins left="0.25" right="0.25" top="0.75" bottom="0.75" header="0.3" footer="0.3"/>
  <pageSetup paperSize="9" scale="6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76312-932B-4518-A394-5E9BB13DBDFC}">
  <sheetPr>
    <tabColor rgb="FF0070C0"/>
    <pageSetUpPr fitToPage="1"/>
  </sheetPr>
  <dimension ref="A1:T714"/>
  <sheetViews>
    <sheetView zoomScale="55" zoomScaleNormal="55" workbookViewId="0">
      <selection activeCell="I27" sqref="I27"/>
    </sheetView>
  </sheetViews>
  <sheetFormatPr defaultColWidth="9.28515625" defaultRowHeight="15" x14ac:dyDescent="0.25"/>
  <cols>
    <col min="1" max="1" width="3.7109375" style="75" customWidth="1"/>
    <col min="2" max="2" width="58.28515625" style="75" customWidth="1"/>
    <col min="3" max="3" width="32.7109375" style="76" hidden="1" customWidth="1"/>
    <col min="4" max="4" width="28.5703125" style="75" customWidth="1"/>
    <col min="5" max="5" width="22.42578125" style="75" customWidth="1"/>
    <col min="6" max="6" width="20.42578125" style="75" customWidth="1"/>
    <col min="7" max="7" width="20.140625" style="75" customWidth="1"/>
    <col min="8" max="8" width="20.7109375" style="75" customWidth="1"/>
    <col min="9" max="9" width="18.7109375" style="75" customWidth="1"/>
    <col min="10" max="10" width="18.42578125" style="75" customWidth="1"/>
    <col min="11" max="11" width="18.28515625" style="75" customWidth="1"/>
    <col min="12" max="12" width="17.85546875" style="75" customWidth="1"/>
    <col min="13" max="13" width="74.28515625" style="75" bestFit="1" customWidth="1"/>
    <col min="14" max="14" width="24.28515625" style="75" bestFit="1" customWidth="1"/>
    <col min="15" max="15" width="29.28515625" style="75" bestFit="1" customWidth="1"/>
    <col min="16" max="16" width="9.28515625" style="75"/>
    <col min="17" max="17" width="17" style="75" bestFit="1" customWidth="1"/>
    <col min="18" max="18" width="9.28515625" style="75"/>
    <col min="19" max="19" width="45" style="75" bestFit="1" customWidth="1"/>
    <col min="20" max="20" width="8.7109375" style="75" bestFit="1" customWidth="1"/>
    <col min="21" max="21" width="10.28515625" style="75" bestFit="1" customWidth="1"/>
    <col min="22" max="22" width="5" style="75" bestFit="1" customWidth="1"/>
    <col min="23" max="23" width="15" style="75" bestFit="1" customWidth="1"/>
    <col min="24" max="16384" width="9.28515625" style="75"/>
  </cols>
  <sheetData>
    <row r="1" spans="2:19" ht="165" customHeight="1" x14ac:dyDescent="0.25">
      <c r="B1" s="680" t="s">
        <v>416</v>
      </c>
      <c r="C1" s="680"/>
      <c r="D1" s="680"/>
      <c r="E1" s="680"/>
      <c r="F1" s="680"/>
      <c r="G1" s="680"/>
      <c r="H1" s="680"/>
      <c r="I1" s="680"/>
      <c r="J1" s="680"/>
      <c r="K1" s="680"/>
      <c r="L1" s="680"/>
      <c r="M1" s="77"/>
      <c r="N1" s="77"/>
      <c r="O1" s="77"/>
      <c r="P1" s="77"/>
      <c r="Q1" s="77"/>
      <c r="R1" s="77"/>
      <c r="S1" s="77"/>
    </row>
    <row r="2" spans="2:19" ht="16.5" thickBot="1" x14ac:dyDescent="0.3">
      <c r="C2" s="78" t="s">
        <v>24</v>
      </c>
      <c r="E2" s="79" t="s">
        <v>25</v>
      </c>
      <c r="M2" s="77"/>
      <c r="N2" s="77"/>
      <c r="O2" s="77"/>
      <c r="P2" s="77"/>
      <c r="Q2" s="77"/>
      <c r="R2" s="77"/>
      <c r="S2" s="77"/>
    </row>
    <row r="3" spans="2:19" ht="38.25" customHeight="1" thickBot="1" x14ac:dyDescent="0.3">
      <c r="B3" s="681"/>
      <c r="C3" s="273"/>
      <c r="D3" s="683" t="s">
        <v>417</v>
      </c>
      <c r="E3" s="684"/>
      <c r="F3" s="685"/>
      <c r="G3" s="686" t="s">
        <v>418</v>
      </c>
      <c r="H3" s="683" t="s">
        <v>26</v>
      </c>
      <c r="I3" s="684"/>
      <c r="J3" s="685"/>
      <c r="K3" s="688" t="s">
        <v>27</v>
      </c>
      <c r="L3" s="689"/>
      <c r="M3" s="78"/>
      <c r="N3" s="78"/>
      <c r="O3" s="80"/>
      <c r="P3" s="77"/>
      <c r="Q3" s="77"/>
      <c r="R3" s="77"/>
      <c r="S3" s="77"/>
    </row>
    <row r="4" spans="2:19" ht="69.75" customHeight="1" thickBot="1" x14ac:dyDescent="0.3">
      <c r="B4" s="682"/>
      <c r="C4" s="274" t="s">
        <v>28</v>
      </c>
      <c r="D4" s="275" t="s">
        <v>29</v>
      </c>
      <c r="E4" s="275" t="s">
        <v>30</v>
      </c>
      <c r="F4" s="275" t="s">
        <v>31</v>
      </c>
      <c r="G4" s="687"/>
      <c r="H4" s="276" t="s">
        <v>32</v>
      </c>
      <c r="I4" s="275" t="s">
        <v>33</v>
      </c>
      <c r="J4" s="277" t="s">
        <v>34</v>
      </c>
      <c r="K4" s="275" t="s">
        <v>35</v>
      </c>
      <c r="L4" s="277" t="s">
        <v>36</v>
      </c>
      <c r="M4" s="81"/>
      <c r="N4" s="82"/>
      <c r="O4" s="77"/>
      <c r="P4" s="77"/>
      <c r="Q4" s="77"/>
      <c r="R4" s="77"/>
      <c r="S4" s="77"/>
    </row>
    <row r="5" spans="2:19" ht="34.5" customHeight="1" thickBot="1" x14ac:dyDescent="0.3">
      <c r="B5" s="83" t="s">
        <v>37</v>
      </c>
      <c r="C5" s="84"/>
      <c r="D5" s="85"/>
      <c r="E5" s="86">
        <v>1583</v>
      </c>
      <c r="F5" s="86">
        <f>E5/C53*100</f>
        <v>18.865666978901899</v>
      </c>
      <c r="G5" s="87">
        <v>26.1</v>
      </c>
      <c r="H5" s="88"/>
      <c r="I5" s="89">
        <f>I6+I7+I11+I14+I24</f>
        <v>1582.9999999976417</v>
      </c>
      <c r="J5" s="90">
        <f>I5/$C$53*100</f>
        <v>18.865666978873794</v>
      </c>
      <c r="K5" s="89">
        <f>I5-E5</f>
        <v>-2.3583197616972029E-9</v>
      </c>
      <c r="L5" s="90">
        <f t="shared" ref="L5" si="0">J5-F5</f>
        <v>-2.8105517912990763E-11</v>
      </c>
      <c r="M5" s="91"/>
      <c r="N5" s="92"/>
      <c r="O5" s="77"/>
      <c r="P5" s="77"/>
      <c r="Q5" s="77"/>
      <c r="R5" s="77"/>
      <c r="S5" s="77"/>
    </row>
    <row r="6" spans="2:19" ht="27" customHeight="1" x14ac:dyDescent="0.25">
      <c r="B6" s="93" t="s">
        <v>38</v>
      </c>
      <c r="C6" s="440">
        <f>E6/D6</f>
        <v>1444.5217619047621</v>
      </c>
      <c r="D6" s="94">
        <v>0.21</v>
      </c>
      <c r="E6" s="95">
        <v>303.34957000000003</v>
      </c>
      <c r="F6" s="96">
        <f>E6/$C$53*100</f>
        <v>3.6152191824466771</v>
      </c>
      <c r="G6" s="97">
        <v>3.2</v>
      </c>
      <c r="H6" s="4">
        <v>0.21</v>
      </c>
      <c r="I6" s="98">
        <f>C6*H6</f>
        <v>303.34957000000003</v>
      </c>
      <c r="J6" s="99">
        <f>I6/$C$53*100</f>
        <v>3.6152191824466771</v>
      </c>
      <c r="K6" s="98">
        <f>I6-E6</f>
        <v>0</v>
      </c>
      <c r="L6" s="99">
        <f>J6-F6</f>
        <v>0</v>
      </c>
      <c r="M6" s="91"/>
      <c r="N6" s="92"/>
      <c r="O6" s="77"/>
      <c r="P6" s="77"/>
      <c r="Q6" s="77"/>
      <c r="R6" s="77"/>
      <c r="S6" s="77"/>
    </row>
    <row r="7" spans="2:19" s="104" customFormat="1" ht="27" customHeight="1" x14ac:dyDescent="0.25">
      <c r="B7" s="100" t="s">
        <v>39</v>
      </c>
      <c r="C7" s="57"/>
      <c r="D7" s="1"/>
      <c r="E7" s="101">
        <v>326.73877069235857</v>
      </c>
      <c r="F7" s="441">
        <f>E7/$C$53*100</f>
        <v>3.8939638894364048</v>
      </c>
      <c r="G7" s="102">
        <v>9.3000000000000007</v>
      </c>
      <c r="H7" s="2"/>
      <c r="I7" s="442">
        <f>I8+I9-I10</f>
        <v>326.73877069000002</v>
      </c>
      <c r="J7" s="443">
        <f>I7/$C$53*100</f>
        <v>3.8939638894082957</v>
      </c>
      <c r="K7" s="442">
        <f>I7-E7</f>
        <v>-2.3585471353726462E-9</v>
      </c>
      <c r="L7" s="443">
        <f>J7-F7</f>
        <v>-2.8109070626669563E-11</v>
      </c>
      <c r="M7" s="103"/>
      <c r="N7" s="92"/>
      <c r="O7" s="80"/>
      <c r="P7" s="80"/>
      <c r="Q7" s="80"/>
      <c r="R7" s="80"/>
      <c r="S7" s="80"/>
    </row>
    <row r="8" spans="2:19" ht="27" customHeight="1" x14ac:dyDescent="0.25">
      <c r="B8" s="186" t="s">
        <v>40</v>
      </c>
      <c r="C8" s="105">
        <f>E8/D8</f>
        <v>3250.2584712666667</v>
      </c>
      <c r="D8" s="3">
        <v>0.15</v>
      </c>
      <c r="E8" s="124">
        <f>326.73877069-E9+E10</f>
        <v>487.53877068999998</v>
      </c>
      <c r="F8" s="444"/>
      <c r="G8" s="102"/>
      <c r="H8" s="5">
        <v>0.15</v>
      </c>
      <c r="I8" s="107">
        <f>C8*H8</f>
        <v>487.53877068999998</v>
      </c>
      <c r="J8" s="445"/>
      <c r="K8" s="107" t="s">
        <v>41</v>
      </c>
      <c r="L8" s="108" t="s">
        <v>41</v>
      </c>
      <c r="M8" s="91"/>
      <c r="N8" s="92"/>
      <c r="O8" s="77"/>
      <c r="P8" s="77"/>
      <c r="Q8" s="77"/>
      <c r="R8" s="77"/>
      <c r="S8" s="77"/>
    </row>
    <row r="9" spans="2:19" ht="27" customHeight="1" x14ac:dyDescent="0.25">
      <c r="B9" s="186" t="s">
        <v>42</v>
      </c>
      <c r="C9" s="105">
        <f>E9/D9</f>
        <v>26.521739130434781</v>
      </c>
      <c r="D9" s="3">
        <v>0.23</v>
      </c>
      <c r="E9" s="124">
        <v>6.1</v>
      </c>
      <c r="F9" s="446"/>
      <c r="G9" s="102"/>
      <c r="H9" s="5">
        <v>0.23</v>
      </c>
      <c r="I9" s="107">
        <f>C9*H9</f>
        <v>6.1</v>
      </c>
      <c r="J9" s="445"/>
      <c r="K9" s="107" t="s">
        <v>41</v>
      </c>
      <c r="L9" s="108" t="s">
        <v>41</v>
      </c>
      <c r="M9" s="91"/>
      <c r="N9" s="92"/>
      <c r="O9" s="77"/>
      <c r="P9" s="77"/>
      <c r="Q9" s="77"/>
      <c r="R9" s="77"/>
      <c r="S9" s="77"/>
    </row>
    <row r="10" spans="2:19" ht="27" customHeight="1" x14ac:dyDescent="0.25">
      <c r="B10" s="186" t="s">
        <v>43</v>
      </c>
      <c r="C10" s="109">
        <f>(E10*1000000000)/D10</f>
        <v>5411802.8534370949</v>
      </c>
      <c r="D10" s="110">
        <v>30840</v>
      </c>
      <c r="E10" s="129">
        <v>166.9</v>
      </c>
      <c r="F10" s="447"/>
      <c r="G10" s="102"/>
      <c r="H10" s="55">
        <v>30840</v>
      </c>
      <c r="I10" s="112">
        <f>C10*H10/1000000000</f>
        <v>166.9</v>
      </c>
      <c r="J10" s="448"/>
      <c r="K10" s="112" t="s">
        <v>41</v>
      </c>
      <c r="L10" s="113" t="s">
        <v>41</v>
      </c>
      <c r="M10" s="91"/>
      <c r="N10" s="92"/>
      <c r="O10" s="77"/>
      <c r="P10" s="77"/>
      <c r="Q10" s="77"/>
      <c r="R10" s="77"/>
      <c r="S10" s="77"/>
    </row>
    <row r="11" spans="2:19" s="104" customFormat="1" ht="27" customHeight="1" x14ac:dyDescent="0.25">
      <c r="B11" s="449" t="s">
        <v>44</v>
      </c>
      <c r="C11" s="450">
        <f>SUM(C12:C13)</f>
        <v>3545.6503959583715</v>
      </c>
      <c r="D11" s="451">
        <f>E11/C11</f>
        <v>0.1749457825448115</v>
      </c>
      <c r="E11" s="452">
        <v>620.29658315125801</v>
      </c>
      <c r="F11" s="441">
        <f>E11/$C$53*100</f>
        <v>7.3924881654342158</v>
      </c>
      <c r="G11" s="453">
        <v>7.1</v>
      </c>
      <c r="H11" s="454"/>
      <c r="I11" s="442">
        <f>SUM(I12:I13)</f>
        <v>620.29658315125801</v>
      </c>
      <c r="J11" s="443">
        <f>I11/$C$53*100</f>
        <v>7.3924881654342158</v>
      </c>
      <c r="K11" s="442">
        <f>SUM(I12:I13)-SUM(E12:E13)</f>
        <v>0</v>
      </c>
      <c r="L11" s="443">
        <f>J11-F11</f>
        <v>0</v>
      </c>
      <c r="M11" s="114"/>
      <c r="N11" s="92"/>
      <c r="O11" s="115"/>
      <c r="P11" s="80"/>
      <c r="Q11" s="80"/>
      <c r="R11" s="80"/>
      <c r="S11" s="80"/>
    </row>
    <row r="12" spans="2:19" ht="27" customHeight="1" x14ac:dyDescent="0.25">
      <c r="B12" s="186" t="s">
        <v>45</v>
      </c>
      <c r="C12" s="455">
        <f>E12/D12</f>
        <v>2164.6503959583715</v>
      </c>
      <c r="D12" s="3">
        <v>0.21</v>
      </c>
      <c r="E12" s="124">
        <f>E11-E13</f>
        <v>454.57658315125798</v>
      </c>
      <c r="F12" s="116">
        <f t="shared" ref="F12:F21" si="1">E12/$C$53*100</f>
        <v>5.4174923778513833</v>
      </c>
      <c r="G12" s="102"/>
      <c r="H12" s="5">
        <v>0.21</v>
      </c>
      <c r="I12" s="107">
        <f>C12*H12</f>
        <v>454.57658315125798</v>
      </c>
      <c r="J12" s="445"/>
      <c r="K12" s="107" t="s">
        <v>41</v>
      </c>
      <c r="L12" s="108" t="s">
        <v>41</v>
      </c>
      <c r="M12" s="117"/>
      <c r="N12" s="92"/>
      <c r="O12" s="118"/>
      <c r="P12" s="77"/>
      <c r="Q12" s="77"/>
      <c r="R12" s="77"/>
      <c r="S12" s="77"/>
    </row>
    <row r="13" spans="2:19" ht="27" customHeight="1" x14ac:dyDescent="0.25">
      <c r="B13" s="186" t="s">
        <v>46</v>
      </c>
      <c r="C13" s="456">
        <v>1381</v>
      </c>
      <c r="D13" s="184">
        <v>0.12</v>
      </c>
      <c r="E13" s="129">
        <f>C13*D13</f>
        <v>165.72</v>
      </c>
      <c r="F13" s="185">
        <f t="shared" si="1"/>
        <v>1.9749957875828315</v>
      </c>
      <c r="G13" s="102"/>
      <c r="H13" s="5">
        <v>0.12</v>
      </c>
      <c r="I13" s="107">
        <f>C13*H13</f>
        <v>165.72</v>
      </c>
      <c r="J13" s="445"/>
      <c r="K13" s="107" t="s">
        <v>41</v>
      </c>
      <c r="L13" s="108" t="s">
        <v>41</v>
      </c>
      <c r="M13" s="119"/>
      <c r="N13" s="92"/>
      <c r="O13" s="118"/>
      <c r="P13" s="77"/>
      <c r="Q13" s="77"/>
      <c r="R13" s="120"/>
      <c r="S13" s="77"/>
    </row>
    <row r="14" spans="2:19" s="104" customFormat="1" ht="27" customHeight="1" x14ac:dyDescent="0.25">
      <c r="B14" s="449" t="s">
        <v>47</v>
      </c>
      <c r="C14" s="57"/>
      <c r="D14" s="121"/>
      <c r="E14" s="101">
        <f>E15+E16+E17+E18+E20+E23+E19+E21+E22</f>
        <v>176.54550174899998</v>
      </c>
      <c r="F14" s="122">
        <f t="shared" si="1"/>
        <v>2.1040105133416152</v>
      </c>
      <c r="G14" s="453">
        <v>1.9</v>
      </c>
      <c r="H14" s="454"/>
      <c r="I14" s="442">
        <f>SUM(I15:I23)</f>
        <v>176.54550174899998</v>
      </c>
      <c r="J14" s="443">
        <f>I14/$C$53*100</f>
        <v>2.1040105133416152</v>
      </c>
      <c r="K14" s="442">
        <f t="shared" ref="K14:L38" si="2">I14-E14</f>
        <v>0</v>
      </c>
      <c r="L14" s="443">
        <f t="shared" si="2"/>
        <v>0</v>
      </c>
      <c r="M14" s="114"/>
      <c r="N14" s="92"/>
      <c r="O14" s="80"/>
      <c r="P14" s="80"/>
      <c r="Q14" s="80"/>
      <c r="R14" s="80"/>
      <c r="S14" s="80"/>
    </row>
    <row r="15" spans="2:19" ht="35.25" customHeight="1" x14ac:dyDescent="0.25">
      <c r="B15" s="186" t="s">
        <v>48</v>
      </c>
      <c r="C15" s="457">
        <f>E15/J61</f>
        <v>8.7778287492481191</v>
      </c>
      <c r="D15" s="123" t="s">
        <v>419</v>
      </c>
      <c r="E15" s="124">
        <v>93.396097892</v>
      </c>
      <c r="F15" s="125">
        <f t="shared" si="1"/>
        <v>1.1130636007324028</v>
      </c>
      <c r="G15" s="102"/>
      <c r="H15" s="56">
        <v>10.64</v>
      </c>
      <c r="I15" s="126">
        <f>C15*H15</f>
        <v>93.396097891999986</v>
      </c>
      <c r="J15" s="127">
        <f>I15/$C$53*100</f>
        <v>1.1130636007324026</v>
      </c>
      <c r="K15" s="126">
        <f t="shared" si="2"/>
        <v>0</v>
      </c>
      <c r="L15" s="127">
        <f t="shared" si="2"/>
        <v>0</v>
      </c>
      <c r="M15" s="117"/>
      <c r="N15" s="92"/>
      <c r="O15" s="118"/>
      <c r="P15" s="77"/>
      <c r="Q15" s="77"/>
      <c r="R15" s="77"/>
      <c r="S15" s="77"/>
    </row>
    <row r="16" spans="2:19" ht="24.75" customHeight="1" x14ac:dyDescent="0.25">
      <c r="B16" s="186" t="s">
        <v>49</v>
      </c>
      <c r="C16" s="457">
        <f>E16/I56</f>
        <v>13.502117985810809</v>
      </c>
      <c r="D16" s="128" t="s">
        <v>420</v>
      </c>
      <c r="E16" s="124">
        <v>59.949403857</v>
      </c>
      <c r="F16" s="125">
        <f t="shared" si="1"/>
        <v>0.71445703648127545</v>
      </c>
      <c r="G16" s="102"/>
      <c r="H16" s="56">
        <v>4.4400000000000004</v>
      </c>
      <c r="I16" s="126">
        <f>C16*H16</f>
        <v>59.949403857</v>
      </c>
      <c r="J16" s="127">
        <f>I16/$C$53*100</f>
        <v>0.71445703648127545</v>
      </c>
      <c r="K16" s="126">
        <f>I16-E16</f>
        <v>0</v>
      </c>
      <c r="L16" s="127">
        <f t="shared" si="2"/>
        <v>0</v>
      </c>
      <c r="M16" s="117"/>
      <c r="N16" s="92"/>
      <c r="O16" s="118"/>
      <c r="P16" s="77"/>
      <c r="Q16" s="77"/>
      <c r="R16" s="77"/>
      <c r="S16" s="77"/>
    </row>
    <row r="17" spans="2:19" ht="24.75" customHeight="1" x14ac:dyDescent="0.25">
      <c r="B17" s="186" t="s">
        <v>421</v>
      </c>
      <c r="C17" s="457">
        <f>E17/J53</f>
        <v>3.5434412265758095E-2</v>
      </c>
      <c r="D17" s="128" t="s">
        <v>422</v>
      </c>
      <c r="E17" s="124">
        <v>10.4</v>
      </c>
      <c r="F17" s="125">
        <f t="shared" si="1"/>
        <v>0.12394373757459239</v>
      </c>
      <c r="G17" s="102"/>
      <c r="H17" s="6">
        <v>293.5</v>
      </c>
      <c r="I17" s="126">
        <f>C17*H17</f>
        <v>10.4</v>
      </c>
      <c r="J17" s="127">
        <f t="shared" ref="J17:J23" si="3">I17/$C$53*100</f>
        <v>0.12394373757459239</v>
      </c>
      <c r="K17" s="126">
        <f>I17-E17</f>
        <v>0</v>
      </c>
      <c r="L17" s="127">
        <f t="shared" si="2"/>
        <v>0</v>
      </c>
      <c r="M17" s="117"/>
      <c r="N17" s="92"/>
      <c r="O17" s="118"/>
      <c r="P17" s="77"/>
      <c r="Q17" s="77"/>
      <c r="R17" s="77"/>
      <c r="S17" s="77"/>
    </row>
    <row r="18" spans="2:19" ht="24.75" customHeight="1" x14ac:dyDescent="0.25">
      <c r="B18" s="186" t="s">
        <v>423</v>
      </c>
      <c r="C18" s="457">
        <f>E18/I54</f>
        <v>1.5333333333333332</v>
      </c>
      <c r="D18" s="128" t="s">
        <v>424</v>
      </c>
      <c r="E18" s="124">
        <v>4.5999999999999996</v>
      </c>
      <c r="F18" s="125">
        <f t="shared" si="1"/>
        <v>5.4821268542608166E-2</v>
      </c>
      <c r="G18" s="102"/>
      <c r="H18" s="6">
        <v>3</v>
      </c>
      <c r="I18" s="126">
        <f>H18*C18</f>
        <v>4.5999999999999996</v>
      </c>
      <c r="J18" s="127">
        <f t="shared" si="3"/>
        <v>5.4821268542608166E-2</v>
      </c>
      <c r="K18" s="126">
        <f>I18-E18</f>
        <v>0</v>
      </c>
      <c r="L18" s="127">
        <f t="shared" si="2"/>
        <v>0</v>
      </c>
      <c r="M18" s="117"/>
      <c r="N18" s="92"/>
      <c r="O18" s="118"/>
      <c r="P18" s="77"/>
      <c r="Q18" s="77"/>
      <c r="R18" s="77"/>
      <c r="S18" s="77"/>
    </row>
    <row r="19" spans="2:19" ht="24.75" customHeight="1" x14ac:dyDescent="0.25">
      <c r="B19" s="186" t="s">
        <v>425</v>
      </c>
      <c r="C19" s="457">
        <f>E19/J58</f>
        <v>5.6537102473498232E-2</v>
      </c>
      <c r="D19" s="128" t="s">
        <v>426</v>
      </c>
      <c r="E19" s="124">
        <v>1.6</v>
      </c>
      <c r="F19" s="125">
        <f t="shared" si="1"/>
        <v>1.906826731916806E-2</v>
      </c>
      <c r="G19" s="102"/>
      <c r="H19" s="6">
        <v>28.3</v>
      </c>
      <c r="I19" s="126">
        <f>H19*C19</f>
        <v>1.6</v>
      </c>
      <c r="J19" s="127">
        <f t="shared" si="3"/>
        <v>1.906826731916806E-2</v>
      </c>
      <c r="K19" s="126">
        <f t="shared" ref="K19:K23" si="4">I19-E19</f>
        <v>0</v>
      </c>
      <c r="L19" s="127">
        <f t="shared" si="2"/>
        <v>0</v>
      </c>
      <c r="M19" s="117"/>
      <c r="N19" s="92"/>
      <c r="O19" s="118"/>
      <c r="P19" s="77"/>
      <c r="Q19" s="77"/>
      <c r="R19" s="77"/>
      <c r="S19" s="77"/>
    </row>
    <row r="20" spans="2:19" ht="28.9" customHeight="1" x14ac:dyDescent="0.25">
      <c r="B20" s="188" t="s">
        <v>427</v>
      </c>
      <c r="C20" s="457">
        <f>E20/J59</f>
        <v>5.2287581699346407E-2</v>
      </c>
      <c r="D20" s="128" t="s">
        <v>428</v>
      </c>
      <c r="E20" s="124">
        <v>1.6</v>
      </c>
      <c r="F20" s="125">
        <f t="shared" si="1"/>
        <v>1.906826731916806E-2</v>
      </c>
      <c r="G20" s="102"/>
      <c r="H20" s="6">
        <v>30.6</v>
      </c>
      <c r="I20" s="126">
        <f>H20*C20</f>
        <v>1.6</v>
      </c>
      <c r="J20" s="127">
        <f t="shared" si="3"/>
        <v>1.906826731916806E-2</v>
      </c>
      <c r="K20" s="126">
        <f t="shared" si="4"/>
        <v>0</v>
      </c>
      <c r="L20" s="127">
        <f t="shared" si="2"/>
        <v>0</v>
      </c>
      <c r="M20" s="117"/>
      <c r="N20" s="92"/>
      <c r="O20" s="118"/>
      <c r="P20" s="77"/>
      <c r="Q20" s="77"/>
      <c r="R20" s="77"/>
      <c r="S20" s="77"/>
    </row>
    <row r="21" spans="2:19" ht="28.9" customHeight="1" x14ac:dyDescent="0.25">
      <c r="B21" s="188" t="s">
        <v>429</v>
      </c>
      <c r="C21" s="457">
        <f>E21/J60</f>
        <v>4.7058823529411764E-2</v>
      </c>
      <c r="D21" s="128" t="s">
        <v>430</v>
      </c>
      <c r="E21" s="124">
        <v>0.4</v>
      </c>
      <c r="F21" s="125">
        <f t="shared" si="1"/>
        <v>4.767066829792015E-3</v>
      </c>
      <c r="G21" s="102"/>
      <c r="H21" s="6">
        <v>8.5</v>
      </c>
      <c r="I21" s="126">
        <f>H21*C21</f>
        <v>0.4</v>
      </c>
      <c r="J21" s="127">
        <f t="shared" si="3"/>
        <v>4.767066829792015E-3</v>
      </c>
      <c r="K21" s="126">
        <f t="shared" si="4"/>
        <v>0</v>
      </c>
      <c r="L21" s="127">
        <f t="shared" si="2"/>
        <v>0</v>
      </c>
      <c r="M21" s="117"/>
      <c r="N21" s="92"/>
      <c r="O21" s="118"/>
      <c r="P21" s="77"/>
      <c r="Q21" s="77"/>
      <c r="R21" s="77"/>
      <c r="S21" s="77"/>
    </row>
    <row r="22" spans="2:19" ht="28.9" customHeight="1" x14ac:dyDescent="0.25">
      <c r="B22" s="188" t="s">
        <v>431</v>
      </c>
      <c r="C22" s="457"/>
      <c r="D22" s="128"/>
      <c r="E22" s="124">
        <v>4.0999999999999996</v>
      </c>
      <c r="F22" s="125">
        <f>E22/$C$53*100</f>
        <v>4.8862435005368146E-2</v>
      </c>
      <c r="G22" s="102"/>
      <c r="H22" s="458"/>
      <c r="I22" s="126">
        <v>4.0999999999999996</v>
      </c>
      <c r="J22" s="127">
        <f t="shared" si="3"/>
        <v>4.8862435005368146E-2</v>
      </c>
      <c r="K22" s="126">
        <f t="shared" si="4"/>
        <v>0</v>
      </c>
      <c r="L22" s="127">
        <f t="shared" si="2"/>
        <v>0</v>
      </c>
      <c r="M22" s="117"/>
      <c r="N22" s="92"/>
      <c r="O22" s="118"/>
      <c r="P22" s="77"/>
      <c r="Q22" s="77"/>
      <c r="R22" s="77"/>
      <c r="S22" s="77"/>
    </row>
    <row r="23" spans="2:19" ht="31.15" customHeight="1" x14ac:dyDescent="0.25">
      <c r="B23" s="459" t="s">
        <v>432</v>
      </c>
      <c r="C23" s="460">
        <f>E23/I53</f>
        <v>2.1367521367521368E-2</v>
      </c>
      <c r="D23" s="152" t="s">
        <v>433</v>
      </c>
      <c r="E23" s="129">
        <v>0.5</v>
      </c>
      <c r="F23" s="130">
        <f t="shared" ref="F23:F47" si="5">E23/$C$53*100</f>
        <v>5.9588335372400183E-3</v>
      </c>
      <c r="G23" s="97"/>
      <c r="H23" s="461">
        <v>23.4</v>
      </c>
      <c r="I23" s="131">
        <f>H23*C23</f>
        <v>0.5</v>
      </c>
      <c r="J23" s="132">
        <f t="shared" si="3"/>
        <v>5.9588335372400183E-3</v>
      </c>
      <c r="K23" s="462">
        <f t="shared" si="4"/>
        <v>0</v>
      </c>
      <c r="L23" s="132">
        <f t="shared" si="2"/>
        <v>0</v>
      </c>
      <c r="M23" s="117"/>
      <c r="N23" s="92"/>
      <c r="O23" s="118"/>
      <c r="P23" s="77"/>
      <c r="Q23" s="77"/>
      <c r="R23" s="77"/>
      <c r="S23" s="77"/>
    </row>
    <row r="24" spans="2:19" ht="28.5" customHeight="1" x14ac:dyDescent="0.25">
      <c r="B24" s="100" t="s">
        <v>50</v>
      </c>
      <c r="C24" s="133" t="s">
        <v>51</v>
      </c>
      <c r="D24" s="134"/>
      <c r="E24" s="101">
        <f>E5-(E6+E7+E11+E14)</f>
        <v>156.0695744073837</v>
      </c>
      <c r="F24" s="139">
        <f>E24/$C$53*100</f>
        <v>1.859985228242989</v>
      </c>
      <c r="G24" s="102" t="s">
        <v>41</v>
      </c>
      <c r="H24" s="135"/>
      <c r="I24" s="136">
        <f>SUM(I25,I26,I27,I30,I31)</f>
        <v>156.0695744073837</v>
      </c>
      <c r="J24" s="137">
        <f>J25+J26+J27+J30+J31</f>
        <v>1.859985228242989</v>
      </c>
      <c r="K24" s="136">
        <f>I24-E24</f>
        <v>0</v>
      </c>
      <c r="L24" s="137">
        <f>J24-F24</f>
        <v>0</v>
      </c>
      <c r="M24" s="117"/>
      <c r="N24" s="92"/>
      <c r="O24" s="77"/>
      <c r="P24" s="77"/>
      <c r="Q24" s="77"/>
      <c r="R24" s="77"/>
      <c r="S24" s="77"/>
    </row>
    <row r="25" spans="2:19" ht="22.5" customHeight="1" x14ac:dyDescent="0.25">
      <c r="B25" s="187" t="s">
        <v>52</v>
      </c>
      <c r="C25" s="138"/>
      <c r="D25" s="121" t="s">
        <v>41</v>
      </c>
      <c r="E25" s="124">
        <v>22.7</v>
      </c>
      <c r="F25" s="139">
        <f t="shared" si="5"/>
        <v>0.27053104259069682</v>
      </c>
      <c r="G25" s="102">
        <v>1</v>
      </c>
      <c r="H25" s="140"/>
      <c r="I25" s="126">
        <f>E25</f>
        <v>22.7</v>
      </c>
      <c r="J25" s="127">
        <f t="shared" ref="I25:J31" si="6">F25</f>
        <v>0.27053104259069682</v>
      </c>
      <c r="K25" s="463">
        <f t="shared" si="2"/>
        <v>0</v>
      </c>
      <c r="L25" s="464">
        <f t="shared" si="2"/>
        <v>0</v>
      </c>
      <c r="M25" s="117"/>
      <c r="N25" s="92"/>
    </row>
    <row r="26" spans="2:19" ht="22.5" customHeight="1" x14ac:dyDescent="0.25">
      <c r="B26" s="186" t="s">
        <v>53</v>
      </c>
      <c r="C26" s="138"/>
      <c r="D26" s="121" t="s">
        <v>41</v>
      </c>
      <c r="E26" s="124">
        <v>20.7</v>
      </c>
      <c r="F26" s="139">
        <f t="shared" si="5"/>
        <v>0.24669570844173672</v>
      </c>
      <c r="G26" s="102"/>
      <c r="H26" s="140"/>
      <c r="I26" s="126">
        <f>E26</f>
        <v>20.7</v>
      </c>
      <c r="J26" s="127">
        <f>F26</f>
        <v>0.24669570844173672</v>
      </c>
      <c r="K26" s="463">
        <f>I26-E26</f>
        <v>0</v>
      </c>
      <c r="L26" s="464">
        <f>J26-F26</f>
        <v>0</v>
      </c>
      <c r="M26" s="117"/>
      <c r="N26" s="92"/>
    </row>
    <row r="27" spans="2:19" ht="24.6" customHeight="1" x14ac:dyDescent="0.25">
      <c r="B27" s="186" t="s">
        <v>434</v>
      </c>
      <c r="C27" s="141"/>
      <c r="D27" s="121"/>
      <c r="E27" s="124">
        <v>23.013000000000002</v>
      </c>
      <c r="F27" s="139">
        <f t="shared" si="5"/>
        <v>0.27426127238500914</v>
      </c>
      <c r="G27" s="142"/>
      <c r="H27" s="143"/>
      <c r="I27" s="126">
        <f>I28+I29</f>
        <v>23.012999999999998</v>
      </c>
      <c r="J27" s="127">
        <f t="shared" ref="I27:J30" si="7">F27</f>
        <v>0.27426127238500914</v>
      </c>
      <c r="K27" s="463">
        <f>I27-E27</f>
        <v>0</v>
      </c>
      <c r="L27" s="464">
        <f t="shared" ref="K27:L30" si="8">J27-F27</f>
        <v>0</v>
      </c>
      <c r="M27" s="117"/>
      <c r="N27" s="92"/>
    </row>
    <row r="28" spans="2:19" ht="24.6" customHeight="1" x14ac:dyDescent="0.25">
      <c r="B28" s="503" t="s">
        <v>435</v>
      </c>
      <c r="C28" s="141"/>
      <c r="D28" s="134" t="s">
        <v>436</v>
      </c>
      <c r="E28" s="124">
        <f>E27-E29</f>
        <v>12.530500000000002</v>
      </c>
      <c r="F28" s="139">
        <f t="shared" si="5"/>
        <v>0.14933432727677212</v>
      </c>
      <c r="G28" s="142"/>
      <c r="H28" s="6">
        <v>263.8</v>
      </c>
      <c r="I28" s="126">
        <f>H28*J65/1000000</f>
        <v>12.5305</v>
      </c>
      <c r="J28" s="127">
        <f>I28/$C$53*100</f>
        <v>0.14933432727677209</v>
      </c>
      <c r="K28" s="463">
        <f>I28-E28</f>
        <v>0</v>
      </c>
      <c r="L28" s="464">
        <f>J28-F28</f>
        <v>0</v>
      </c>
      <c r="M28" s="117"/>
      <c r="N28" s="92"/>
    </row>
    <row r="29" spans="2:19" ht="24.6" customHeight="1" x14ac:dyDescent="0.25">
      <c r="B29" s="503" t="s">
        <v>437</v>
      </c>
      <c r="C29" s="141"/>
      <c r="D29" s="134" t="s">
        <v>438</v>
      </c>
      <c r="E29" s="124">
        <v>10.4825</v>
      </c>
      <c r="F29" s="139">
        <f t="shared" si="5"/>
        <v>0.12492694510823699</v>
      </c>
      <c r="G29" s="142"/>
      <c r="H29" s="6">
        <v>599</v>
      </c>
      <c r="I29" s="126">
        <f>H29*J64/1000000</f>
        <v>10.4825</v>
      </c>
      <c r="J29" s="127">
        <f>I29/$C$53*100</f>
        <v>0.12492694510823699</v>
      </c>
      <c r="K29" s="463">
        <f>I29-E29</f>
        <v>0</v>
      </c>
      <c r="L29" s="464">
        <f t="shared" si="8"/>
        <v>0</v>
      </c>
      <c r="M29" s="117"/>
      <c r="N29" s="92"/>
    </row>
    <row r="30" spans="2:19" ht="24.6" customHeight="1" x14ac:dyDescent="0.25">
      <c r="B30" s="186" t="s">
        <v>439</v>
      </c>
      <c r="C30" s="141"/>
      <c r="D30" s="134"/>
      <c r="E30" s="124">
        <v>16.57</v>
      </c>
      <c r="F30" s="139">
        <f t="shared" si="5"/>
        <v>0.19747574342413424</v>
      </c>
      <c r="G30" s="142"/>
      <c r="H30" s="143"/>
      <c r="I30" s="126">
        <f t="shared" si="7"/>
        <v>16.57</v>
      </c>
      <c r="J30" s="127">
        <f t="shared" si="7"/>
        <v>0.19747574342413424</v>
      </c>
      <c r="K30" s="463">
        <f t="shared" si="8"/>
        <v>0</v>
      </c>
      <c r="L30" s="464">
        <f t="shared" si="8"/>
        <v>0</v>
      </c>
      <c r="M30" s="117"/>
      <c r="N30" s="92"/>
    </row>
    <row r="31" spans="2:19" ht="40.9" customHeight="1" thickBot="1" x14ac:dyDescent="0.3">
      <c r="B31" s="188" t="s">
        <v>440</v>
      </c>
      <c r="C31" s="370"/>
      <c r="D31" s="371" t="s">
        <v>41</v>
      </c>
      <c r="E31" s="372">
        <f>E24-(E25+E26+E27+E30)</f>
        <v>73.086574407383694</v>
      </c>
      <c r="F31" s="139">
        <f t="shared" si="5"/>
        <v>0.87102146140141201</v>
      </c>
      <c r="G31" s="102"/>
      <c r="H31" s="140"/>
      <c r="I31" s="126">
        <f t="shared" si="6"/>
        <v>73.086574407383694</v>
      </c>
      <c r="J31" s="127">
        <f t="shared" si="6"/>
        <v>0.87102146140141201</v>
      </c>
      <c r="K31" s="463">
        <f t="shared" si="2"/>
        <v>0</v>
      </c>
      <c r="L31" s="464">
        <f t="shared" si="2"/>
        <v>0</v>
      </c>
      <c r="M31" s="117"/>
      <c r="N31" s="92"/>
    </row>
    <row r="32" spans="2:19" ht="35.25" customHeight="1" thickBot="1" x14ac:dyDescent="0.3">
      <c r="B32" s="83" t="s">
        <v>54</v>
      </c>
      <c r="C32" s="144"/>
      <c r="D32" s="145" t="s">
        <v>41</v>
      </c>
      <c r="E32" s="86">
        <f>E33+E38+E42</f>
        <v>1345.4971223813129</v>
      </c>
      <c r="F32" s="86">
        <f>E32/$C$53*100</f>
        <v>16.035186754211409</v>
      </c>
      <c r="G32" s="87">
        <v>13.7</v>
      </c>
      <c r="H32" s="146"/>
      <c r="I32" s="89">
        <f>I33+I38+I42</f>
        <v>1345.4971223813127</v>
      </c>
      <c r="J32" s="90">
        <f>I32/$C$53*100</f>
        <v>16.035186754211406</v>
      </c>
      <c r="K32" s="89">
        <f>I32-E32</f>
        <v>0</v>
      </c>
      <c r="L32" s="90">
        <f>J32-F32</f>
        <v>0</v>
      </c>
      <c r="M32" s="117"/>
      <c r="N32" s="92"/>
    </row>
    <row r="33" spans="1:18" s="104" customFormat="1" ht="27" customHeight="1" x14ac:dyDescent="0.25">
      <c r="B33" s="100" t="s">
        <v>55</v>
      </c>
      <c r="C33" s="147"/>
      <c r="D33" s="148"/>
      <c r="E33" s="101">
        <f>E34+E35+E36+C55</f>
        <v>824.34263921500349</v>
      </c>
      <c r="F33" s="101">
        <f t="shared" si="5"/>
        <v>9.8242411294626226</v>
      </c>
      <c r="G33" s="149" t="s">
        <v>41</v>
      </c>
      <c r="H33" s="2"/>
      <c r="I33" s="136">
        <f>SUM(I34:I37)</f>
        <v>824.34263921500349</v>
      </c>
      <c r="J33" s="137">
        <f>I33/$C$53*100</f>
        <v>9.8242411294626226</v>
      </c>
      <c r="K33" s="136">
        <f>I33-E33</f>
        <v>0</v>
      </c>
      <c r="L33" s="137">
        <f>J33-F33</f>
        <v>0</v>
      </c>
      <c r="M33" s="150"/>
      <c r="N33" s="92"/>
    </row>
    <row r="34" spans="1:18" ht="27" customHeight="1" x14ac:dyDescent="0.25">
      <c r="B34" s="186" t="s">
        <v>56</v>
      </c>
      <c r="C34" s="151">
        <f>E34/D34</f>
        <v>2357.2537831455402</v>
      </c>
      <c r="D34" s="128">
        <v>7.0999999999999994E-2</v>
      </c>
      <c r="E34" s="106">
        <f>167.177278298+G55</f>
        <v>167.36501860333334</v>
      </c>
      <c r="F34" s="106">
        <f t="shared" si="5"/>
        <v>1.9946005716286845</v>
      </c>
      <c r="G34" s="465"/>
      <c r="H34" s="7">
        <v>7.0999999999999994E-2</v>
      </c>
      <c r="I34" s="107">
        <f>C34*H34</f>
        <v>167.36501860333334</v>
      </c>
      <c r="J34" s="445"/>
      <c r="K34" s="107" t="s">
        <v>41</v>
      </c>
      <c r="L34" s="108" t="s">
        <v>41</v>
      </c>
      <c r="M34" s="117"/>
      <c r="N34" s="92"/>
    </row>
    <row r="35" spans="1:18" ht="27" customHeight="1" x14ac:dyDescent="0.25">
      <c r="B35" s="186" t="s">
        <v>57</v>
      </c>
      <c r="C35" s="151">
        <f>E35/D35</f>
        <v>2402.7446573118282</v>
      </c>
      <c r="D35" s="128">
        <v>0.248</v>
      </c>
      <c r="E35" s="106">
        <f>595.692934708+G56</f>
        <v>595.88067501333342</v>
      </c>
      <c r="F35" s="106">
        <f t="shared" si="5"/>
        <v>7.1015075009253428</v>
      </c>
      <c r="G35" s="465"/>
      <c r="H35" s="7">
        <v>0.248</v>
      </c>
      <c r="I35" s="107">
        <f t="shared" ref="I35:I36" si="9">C35*H35</f>
        <v>595.88067501333342</v>
      </c>
      <c r="J35" s="445"/>
      <c r="K35" s="107" t="s">
        <v>41</v>
      </c>
      <c r="L35" s="108" t="s">
        <v>41</v>
      </c>
      <c r="M35" s="117"/>
      <c r="N35" s="92"/>
    </row>
    <row r="36" spans="1:18" ht="27" customHeight="1" x14ac:dyDescent="0.25">
      <c r="B36" s="186" t="s">
        <v>58</v>
      </c>
      <c r="C36" s="466">
        <f>E36/D36</f>
        <v>158.20569281621005</v>
      </c>
      <c r="D36" s="128">
        <v>0.29199999999999998</v>
      </c>
      <c r="E36" s="106">
        <f>46.008321997+G57</f>
        <v>46.196062302333331</v>
      </c>
      <c r="F36" s="106">
        <f t="shared" si="5"/>
        <v>0.55054929067114633</v>
      </c>
      <c r="G36" s="465"/>
      <c r="H36" s="7">
        <v>0.29199999999999998</v>
      </c>
      <c r="I36" s="107">
        <f t="shared" si="9"/>
        <v>46.196062302333331</v>
      </c>
      <c r="J36" s="445"/>
      <c r="K36" s="107" t="s">
        <v>41</v>
      </c>
      <c r="L36" s="108" t="s">
        <v>41</v>
      </c>
      <c r="M36" s="117"/>
      <c r="N36" s="92"/>
    </row>
    <row r="37" spans="1:18" ht="27" customHeight="1" x14ac:dyDescent="0.25">
      <c r="A37" s="467"/>
      <c r="B37" s="468" t="s">
        <v>441</v>
      </c>
      <c r="C37" s="469"/>
      <c r="D37" s="152"/>
      <c r="E37" s="111">
        <v>14.9008832960034</v>
      </c>
      <c r="F37" s="185">
        <f t="shared" si="5"/>
        <v>0.17758376623744929</v>
      </c>
      <c r="G37" s="470"/>
      <c r="H37" s="471"/>
      <c r="I37" s="112">
        <f>E37</f>
        <v>14.9008832960034</v>
      </c>
      <c r="J37" s="472"/>
      <c r="K37" s="473"/>
      <c r="L37" s="113"/>
      <c r="M37" s="117"/>
      <c r="N37" s="92"/>
    </row>
    <row r="38" spans="1:18" s="104" customFormat="1" ht="27" customHeight="1" x14ac:dyDescent="0.25">
      <c r="B38" s="100" t="s">
        <v>59</v>
      </c>
      <c r="C38" s="153"/>
      <c r="D38" s="148"/>
      <c r="E38" s="101">
        <f>E39+E40+E41</f>
        <v>367.35448316630954</v>
      </c>
      <c r="F38" s="101">
        <f t="shared" si="5"/>
        <v>4.3780084286937582</v>
      </c>
      <c r="G38" s="149" t="s">
        <v>41</v>
      </c>
      <c r="H38" s="2"/>
      <c r="I38" s="136">
        <f>SUM(I39:I41)</f>
        <v>367.35448316630931</v>
      </c>
      <c r="J38" s="137">
        <f>I38/$C$53*100</f>
        <v>4.3780084286937555</v>
      </c>
      <c r="K38" s="136">
        <f>I38-E38</f>
        <v>0</v>
      </c>
      <c r="L38" s="137">
        <f t="shared" si="2"/>
        <v>0</v>
      </c>
      <c r="M38" s="154"/>
      <c r="N38" s="92"/>
    </row>
    <row r="39" spans="1:18" ht="27" customHeight="1" x14ac:dyDescent="0.25">
      <c r="B39" s="186" t="s">
        <v>56</v>
      </c>
      <c r="C39" s="151">
        <f>E39/D39</f>
        <v>2416.376155938392</v>
      </c>
      <c r="D39" s="128">
        <v>4.4999999999999998E-2</v>
      </c>
      <c r="E39" s="106">
        <v>108.73692701722763</v>
      </c>
      <c r="F39" s="106">
        <f t="shared" si="5"/>
        <v>1.2958904948933525</v>
      </c>
      <c r="G39" s="149"/>
      <c r="H39" s="7">
        <v>4.4999999999999998E-2</v>
      </c>
      <c r="I39" s="107">
        <f>C39*H39</f>
        <v>108.73692701722764</v>
      </c>
      <c r="J39" s="445"/>
      <c r="K39" s="107" t="s">
        <v>41</v>
      </c>
      <c r="L39" s="108" t="s">
        <v>41</v>
      </c>
      <c r="M39" s="155"/>
      <c r="N39" s="92"/>
    </row>
    <row r="40" spans="1:18" ht="27" customHeight="1" x14ac:dyDescent="0.25">
      <c r="B40" s="186" t="s">
        <v>57</v>
      </c>
      <c r="C40" s="151">
        <f t="shared" ref="C40" si="10">E40/D40</f>
        <v>2424.5395888976432</v>
      </c>
      <c r="D40" s="128">
        <v>0.09</v>
      </c>
      <c r="E40" s="106">
        <v>218.20856300078788</v>
      </c>
      <c r="F40" s="106">
        <f t="shared" si="5"/>
        <v>2.6005370066440925</v>
      </c>
      <c r="G40" s="149"/>
      <c r="H40" s="7">
        <v>8.99999999999999E-2</v>
      </c>
      <c r="I40" s="107">
        <f>C40*H40</f>
        <v>218.20856300078765</v>
      </c>
      <c r="J40" s="445"/>
      <c r="K40" s="107" t="s">
        <v>41</v>
      </c>
      <c r="L40" s="108" t="s">
        <v>41</v>
      </c>
      <c r="M40" s="155"/>
      <c r="N40" s="92"/>
    </row>
    <row r="41" spans="1:18" ht="27" customHeight="1" x14ac:dyDescent="0.25">
      <c r="B41" s="474" t="s">
        <v>58</v>
      </c>
      <c r="C41" s="475">
        <f>E41/D41</f>
        <v>299.32587517254854</v>
      </c>
      <c r="D41" s="476">
        <v>0.13500000000000001</v>
      </c>
      <c r="E41" s="477">
        <v>40.408993148294051</v>
      </c>
      <c r="F41" s="477">
        <f t="shared" si="5"/>
        <v>0.4815809271563134</v>
      </c>
      <c r="G41" s="478"/>
      <c r="H41" s="479">
        <v>0.13500000000000001</v>
      </c>
      <c r="I41" s="480">
        <f>C41*H41</f>
        <v>40.408993148294051</v>
      </c>
      <c r="J41" s="481"/>
      <c r="K41" s="480" t="s">
        <v>41</v>
      </c>
      <c r="L41" s="482" t="s">
        <v>41</v>
      </c>
      <c r="M41" s="155"/>
      <c r="N41" s="92"/>
    </row>
    <row r="42" spans="1:18" s="104" customFormat="1" ht="25.5" customHeight="1" thickBot="1" x14ac:dyDescent="0.3">
      <c r="A42" s="483"/>
      <c r="B42" s="484" t="s">
        <v>188</v>
      </c>
      <c r="C42" s="485" t="s">
        <v>41</v>
      </c>
      <c r="D42" s="486" t="s">
        <v>41</v>
      </c>
      <c r="E42" s="487">
        <v>153.80000000000001</v>
      </c>
      <c r="F42" s="488">
        <f t="shared" si="5"/>
        <v>1.8329371960550296</v>
      </c>
      <c r="G42" s="489" t="s">
        <v>41</v>
      </c>
      <c r="H42" s="490"/>
      <c r="I42" s="491">
        <f>E42</f>
        <v>153.80000000000001</v>
      </c>
      <c r="J42" s="492"/>
      <c r="K42" s="493" t="s">
        <v>41</v>
      </c>
      <c r="L42" s="494" t="s">
        <v>41</v>
      </c>
      <c r="M42" s="157"/>
      <c r="N42" s="92"/>
      <c r="R42" s="158"/>
    </row>
    <row r="43" spans="1:18" s="104" customFormat="1" ht="40.5" customHeight="1" thickBot="1" x14ac:dyDescent="0.3">
      <c r="A43" s="483"/>
      <c r="B43" s="83" t="s">
        <v>60</v>
      </c>
      <c r="C43" s="159" t="s">
        <v>41</v>
      </c>
      <c r="D43" s="160" t="s">
        <v>41</v>
      </c>
      <c r="E43" s="86">
        <f>E49-(E5+E32)</f>
        <v>502.19097761868716</v>
      </c>
      <c r="F43" s="178">
        <f t="shared" si="5"/>
        <v>5.9849448790671689</v>
      </c>
      <c r="G43" s="87" t="s">
        <v>41</v>
      </c>
      <c r="H43" s="168"/>
      <c r="I43" s="89">
        <f>E43</f>
        <v>502.19097761868716</v>
      </c>
      <c r="J43" s="90">
        <f>F43</f>
        <v>5.9849448790671689</v>
      </c>
      <c r="K43" s="89">
        <f t="shared" ref="K43:L43" si="11">I43-E43</f>
        <v>0</v>
      </c>
      <c r="L43" s="90">
        <f t="shared" si="11"/>
        <v>0</v>
      </c>
      <c r="M43" s="157"/>
      <c r="N43" s="92"/>
      <c r="R43" s="158"/>
    </row>
    <row r="44" spans="1:18" ht="25.5" customHeight="1" x14ac:dyDescent="0.25">
      <c r="B44" s="100" t="s">
        <v>442</v>
      </c>
      <c r="C44" s="147"/>
      <c r="D44" s="121" t="s">
        <v>41</v>
      </c>
      <c r="E44" s="124">
        <v>103</v>
      </c>
      <c r="F44" s="124">
        <f t="shared" si="5"/>
        <v>1.2275197086714438</v>
      </c>
      <c r="G44" s="149"/>
      <c r="H44" s="156"/>
      <c r="I44" s="126"/>
      <c r="J44" s="127"/>
      <c r="K44" s="136"/>
      <c r="L44" s="137"/>
      <c r="M44" s="150"/>
      <c r="N44" s="92"/>
      <c r="R44" s="162"/>
    </row>
    <row r="45" spans="1:18" ht="36" customHeight="1" x14ac:dyDescent="0.25">
      <c r="B45" s="495" t="s">
        <v>443</v>
      </c>
      <c r="C45" s="147"/>
      <c r="D45" s="121" t="s">
        <v>41</v>
      </c>
      <c r="E45" s="124">
        <v>61</v>
      </c>
      <c r="F45" s="124">
        <f t="shared" si="5"/>
        <v>0.72697769154328218</v>
      </c>
      <c r="G45" s="149"/>
      <c r="H45" s="156"/>
      <c r="I45" s="126"/>
      <c r="J45" s="127"/>
      <c r="K45" s="136"/>
      <c r="L45" s="137"/>
      <c r="M45" s="150"/>
      <c r="N45" s="92"/>
      <c r="R45" s="162"/>
    </row>
    <row r="46" spans="1:18" ht="25.15" customHeight="1" x14ac:dyDescent="0.25">
      <c r="B46" s="495" t="s">
        <v>444</v>
      </c>
      <c r="C46" s="147"/>
      <c r="D46" s="121" t="s">
        <v>41</v>
      </c>
      <c r="E46" s="124">
        <v>17.8</v>
      </c>
      <c r="F46" s="124">
        <f t="shared" si="5"/>
        <v>0.21213447392574467</v>
      </c>
      <c r="G46" s="149"/>
      <c r="H46" s="156"/>
      <c r="I46" s="126"/>
      <c r="J46" s="127"/>
      <c r="K46" s="136"/>
      <c r="L46" s="137"/>
      <c r="M46" s="150"/>
      <c r="N46" s="92"/>
      <c r="R46" s="162"/>
    </row>
    <row r="47" spans="1:18" ht="31.9" customHeight="1" x14ac:dyDescent="0.25">
      <c r="B47" s="495" t="s">
        <v>445</v>
      </c>
      <c r="C47" s="147"/>
      <c r="D47" s="121" t="s">
        <v>41</v>
      </c>
      <c r="E47" s="124">
        <v>8</v>
      </c>
      <c r="F47" s="124">
        <f t="shared" si="5"/>
        <v>9.5341336595840293E-2</v>
      </c>
      <c r="G47" s="149"/>
      <c r="H47" s="156"/>
      <c r="I47" s="126"/>
      <c r="J47" s="127"/>
      <c r="K47" s="136"/>
      <c r="L47" s="137"/>
      <c r="M47" s="150"/>
      <c r="N47" s="92"/>
      <c r="R47" s="162"/>
    </row>
    <row r="48" spans="1:18" ht="38.450000000000003" customHeight="1" thickBot="1" x14ac:dyDescent="0.3">
      <c r="B48" s="495" t="s">
        <v>446</v>
      </c>
      <c r="C48" s="147"/>
      <c r="D48" s="121" t="s">
        <v>41</v>
      </c>
      <c r="E48" s="124">
        <f>E43-E44-E45-E46-E47</f>
        <v>312.39097761868715</v>
      </c>
      <c r="F48" s="124">
        <f>E48/C53*100</f>
        <v>3.722971668330858</v>
      </c>
      <c r="G48" s="149"/>
      <c r="H48" s="156"/>
      <c r="I48" s="126"/>
      <c r="J48" s="127"/>
      <c r="K48" s="163"/>
      <c r="L48" s="164"/>
      <c r="M48" s="150"/>
      <c r="N48" s="92"/>
      <c r="R48" s="162"/>
    </row>
    <row r="49" spans="2:20" ht="57" customHeight="1" thickBot="1" x14ac:dyDescent="0.3">
      <c r="B49" s="165" t="s">
        <v>61</v>
      </c>
      <c r="C49" s="159" t="s">
        <v>41</v>
      </c>
      <c r="D49" s="160"/>
      <c r="E49" s="86">
        <v>3430.6880999999998</v>
      </c>
      <c r="F49" s="86">
        <f>E49/C53*100</f>
        <v>40.885798612180473</v>
      </c>
      <c r="G49" s="87" t="s">
        <v>41</v>
      </c>
      <c r="H49" s="161"/>
      <c r="I49" s="89">
        <f>SUM(I6,I7,I14,I24,I33,I11,I43,I38,I42)</f>
        <v>3430.688099997642</v>
      </c>
      <c r="J49" s="90">
        <f>SUM(J6,J7,J14,J24,J11,J32,J43)</f>
        <v>40.885798612152371</v>
      </c>
      <c r="K49" s="69">
        <f>I49-E49</f>
        <v>-2.3578650143463165E-9</v>
      </c>
      <c r="L49" s="70">
        <f>J49-F49</f>
        <v>-2.8101965199311962E-11</v>
      </c>
      <c r="M49" s="92"/>
      <c r="N49" s="92"/>
    </row>
    <row r="50" spans="2:20" ht="56.25" customHeight="1" thickBot="1" x14ac:dyDescent="0.3">
      <c r="B50" s="166" t="s">
        <v>62</v>
      </c>
      <c r="C50" s="167" t="s">
        <v>41</v>
      </c>
      <c r="D50" s="168"/>
      <c r="E50" s="86">
        <f>E49-E51</f>
        <v>3617.6880999999998</v>
      </c>
      <c r="F50" s="169">
        <f>E50/C53*100</f>
        <v>43.11440235510824</v>
      </c>
      <c r="G50" s="170" t="s">
        <v>41</v>
      </c>
      <c r="H50" s="161"/>
      <c r="I50" s="86">
        <f>E50</f>
        <v>3617.6880999999998</v>
      </c>
      <c r="J50" s="171">
        <f>F50</f>
        <v>43.11440235510824</v>
      </c>
      <c r="K50" s="172" t="s">
        <v>41</v>
      </c>
      <c r="L50" s="173" t="s">
        <v>41</v>
      </c>
      <c r="M50" s="174"/>
      <c r="N50" s="175"/>
      <c r="O50" s="77"/>
      <c r="P50" s="77"/>
      <c r="Q50" s="77"/>
      <c r="R50" s="77"/>
      <c r="S50" s="77"/>
      <c r="T50" s="77"/>
    </row>
    <row r="51" spans="2:20" ht="61.5" customHeight="1" thickBot="1" x14ac:dyDescent="0.3">
      <c r="B51" s="165" t="s">
        <v>63</v>
      </c>
      <c r="C51" s="167" t="s">
        <v>41</v>
      </c>
      <c r="D51" s="176" t="s">
        <v>64</v>
      </c>
      <c r="E51" s="177">
        <v>-187</v>
      </c>
      <c r="F51" s="178">
        <f>F49-F50</f>
        <v>-2.228603742927767</v>
      </c>
      <c r="G51" s="170" t="s">
        <v>41</v>
      </c>
      <c r="H51" s="179" t="s">
        <v>65</v>
      </c>
      <c r="I51" s="68">
        <f>I49-I50</f>
        <v>-187.00000000235787</v>
      </c>
      <c r="J51" s="178">
        <f>I51/$C$53*100</f>
        <v>-2.2286037429558672</v>
      </c>
      <c r="K51" s="172"/>
      <c r="L51" s="180" t="s">
        <v>41</v>
      </c>
      <c r="M51" s="77"/>
      <c r="N51" s="77"/>
      <c r="O51" s="77"/>
      <c r="P51" s="77"/>
      <c r="Q51" s="77"/>
      <c r="R51" s="77"/>
      <c r="S51" s="77"/>
      <c r="T51" s="77"/>
    </row>
    <row r="52" spans="2:20" x14ac:dyDescent="0.25">
      <c r="B52" s="496" t="s">
        <v>447</v>
      </c>
      <c r="C52" s="497"/>
      <c r="D52" s="497"/>
      <c r="E52" s="181"/>
      <c r="F52" s="181"/>
      <c r="G52" s="181"/>
      <c r="H52" s="181"/>
      <c r="I52" s="181"/>
      <c r="J52" s="181"/>
      <c r="K52" s="181"/>
      <c r="L52" s="181"/>
      <c r="M52" s="77"/>
      <c r="N52" s="77"/>
      <c r="O52" s="77"/>
      <c r="P52" s="77"/>
      <c r="Q52" s="77"/>
      <c r="R52" s="77"/>
      <c r="S52" s="77"/>
      <c r="T52" s="77"/>
    </row>
    <row r="53" spans="2:20" x14ac:dyDescent="0.25">
      <c r="B53" s="278" t="s">
        <v>448</v>
      </c>
      <c r="C53" s="498">
        <v>8390.9039726521278</v>
      </c>
      <c r="D53" s="181"/>
      <c r="E53" s="181"/>
      <c r="F53" s="181"/>
      <c r="G53" s="181"/>
      <c r="H53" s="181"/>
      <c r="I53" s="499">
        <v>23.4</v>
      </c>
      <c r="J53" s="181">
        <v>293.5</v>
      </c>
      <c r="K53" s="181"/>
      <c r="L53" s="181"/>
      <c r="M53" s="77"/>
      <c r="N53" s="77"/>
      <c r="O53" s="77"/>
      <c r="P53" s="77"/>
      <c r="Q53" s="77"/>
      <c r="R53" s="77"/>
      <c r="S53" s="77"/>
      <c r="T53" s="77"/>
    </row>
    <row r="54" spans="2:20" x14ac:dyDescent="0.25">
      <c r="B54" s="500" t="s">
        <v>449</v>
      </c>
      <c r="C54" s="501">
        <v>824.34263921500349</v>
      </c>
      <c r="D54" s="182"/>
      <c r="E54" s="182"/>
      <c r="F54" s="182"/>
      <c r="G54" s="502">
        <f>E33-SUM(E34:E36)</f>
        <v>14.900883296003371</v>
      </c>
      <c r="H54" s="182" t="s">
        <v>450</v>
      </c>
      <c r="I54" s="183">
        <v>3</v>
      </c>
      <c r="J54" s="182"/>
      <c r="K54" s="182"/>
      <c r="L54" s="182"/>
      <c r="M54" s="77"/>
      <c r="N54" s="77"/>
      <c r="O54" s="77"/>
      <c r="P54" s="77"/>
      <c r="Q54" s="182"/>
      <c r="R54" s="77"/>
      <c r="S54" s="77"/>
      <c r="T54" s="77"/>
    </row>
    <row r="55" spans="2:20" ht="15.75" x14ac:dyDescent="0.25">
      <c r="B55" s="80"/>
      <c r="C55" s="504">
        <v>14.900883296003371</v>
      </c>
      <c r="D55" s="182"/>
      <c r="E55" s="505"/>
      <c r="F55" s="182"/>
      <c r="G55" s="182">
        <v>0.18774030533332584</v>
      </c>
      <c r="H55" s="182" t="s">
        <v>66</v>
      </c>
      <c r="I55" s="506">
        <v>344.96772272034411</v>
      </c>
      <c r="J55" s="507">
        <v>0.59499999999999997</v>
      </c>
      <c r="K55" s="507">
        <v>0.29499999999999998</v>
      </c>
      <c r="L55" s="508">
        <v>0.11</v>
      </c>
      <c r="M55" s="77"/>
      <c r="N55" s="77"/>
      <c r="O55" s="77"/>
      <c r="P55" s="77"/>
      <c r="Q55" s="182"/>
      <c r="R55" s="77"/>
      <c r="S55" s="77"/>
      <c r="T55" s="77"/>
    </row>
    <row r="56" spans="2:20" ht="15.75" x14ac:dyDescent="0.25">
      <c r="B56" s="80"/>
      <c r="C56" s="77"/>
      <c r="D56" s="182"/>
      <c r="E56" s="509"/>
      <c r="F56" s="182"/>
      <c r="G56" s="182">
        <v>0.18774030533332584</v>
      </c>
      <c r="H56" s="182" t="s">
        <v>67</v>
      </c>
      <c r="I56" s="183">
        <v>4.4400000000000004</v>
      </c>
      <c r="J56" s="505">
        <f>E39+E40+E41</f>
        <v>367.35448316630954</v>
      </c>
      <c r="K56" s="510">
        <f>J56-I55</f>
        <v>22.386760445965422</v>
      </c>
      <c r="L56" s="505">
        <f>E41</f>
        <v>40.408993148294051</v>
      </c>
      <c r="M56" s="77"/>
      <c r="N56" s="77"/>
      <c r="O56" s="77"/>
      <c r="P56" s="77"/>
      <c r="Q56" s="182"/>
      <c r="R56" s="77"/>
      <c r="S56" s="77"/>
      <c r="T56" s="77"/>
    </row>
    <row r="57" spans="2:20" ht="15.75" x14ac:dyDescent="0.25">
      <c r="B57" s="80"/>
      <c r="C57" s="77"/>
      <c r="D57" s="182"/>
      <c r="E57" s="509"/>
      <c r="F57" s="182"/>
      <c r="G57" s="182">
        <v>0.18774030533332584</v>
      </c>
      <c r="H57" s="182" t="s">
        <v>68</v>
      </c>
      <c r="I57" s="511">
        <f>E15/C15</f>
        <v>10.640000000000002</v>
      </c>
      <c r="J57" s="182"/>
      <c r="K57" s="182"/>
      <c r="L57" s="510">
        <f>L56-K56</f>
        <v>18.02223270232863</v>
      </c>
      <c r="M57" s="77"/>
      <c r="N57" s="77"/>
      <c r="O57" s="77"/>
      <c r="P57" s="77"/>
      <c r="Q57" s="182"/>
      <c r="R57" s="77"/>
    </row>
    <row r="58" spans="2:20" ht="15.75" x14ac:dyDescent="0.25">
      <c r="B58" s="80"/>
      <c r="C58" s="77"/>
      <c r="D58" s="182"/>
      <c r="E58" s="505"/>
      <c r="F58" s="182"/>
      <c r="G58" s="182"/>
      <c r="H58" s="79" t="s">
        <v>69</v>
      </c>
      <c r="I58" s="512">
        <f>F49*0.01*C53</f>
        <v>3430.6880999999998</v>
      </c>
      <c r="J58" s="182">
        <v>28.3</v>
      </c>
      <c r="K58" s="182">
        <v>3337.6851010940331</v>
      </c>
      <c r="L58" s="182"/>
      <c r="M58" s="77"/>
      <c r="N58" s="77"/>
      <c r="O58" s="77"/>
      <c r="P58" s="77"/>
      <c r="Q58" s="182" t="s">
        <v>70</v>
      </c>
      <c r="R58" s="77"/>
    </row>
    <row r="59" spans="2:20" ht="15.75" x14ac:dyDescent="0.25">
      <c r="B59" s="77"/>
      <c r="C59" s="77"/>
      <c r="D59" s="182"/>
      <c r="E59" s="505"/>
      <c r="F59" s="182"/>
      <c r="G59" s="182"/>
      <c r="H59" s="79" t="s">
        <v>71</v>
      </c>
      <c r="I59" s="512">
        <f>F50*0.01*C53</f>
        <v>3617.6880999999998</v>
      </c>
      <c r="J59" s="182">
        <v>30.6</v>
      </c>
      <c r="K59" s="182">
        <v>3337.6851010940331</v>
      </c>
      <c r="L59" s="182"/>
      <c r="M59" s="77"/>
      <c r="N59" s="77"/>
      <c r="O59" s="77"/>
      <c r="P59" s="77"/>
      <c r="Q59" s="182">
        <v>2192.0359856729997</v>
      </c>
      <c r="R59" s="77"/>
    </row>
    <row r="60" spans="2:20" ht="15.75" x14ac:dyDescent="0.25">
      <c r="B60" s="513"/>
      <c r="C60" s="147"/>
      <c r="D60" s="514"/>
      <c r="E60" s="106">
        <v>103</v>
      </c>
      <c r="F60" s="182"/>
      <c r="G60" s="182"/>
      <c r="H60" s="182" t="s">
        <v>72</v>
      </c>
      <c r="I60" s="515">
        <f>I58-I59</f>
        <v>-187</v>
      </c>
      <c r="J60" s="182">
        <v>8.5</v>
      </c>
      <c r="K60" s="182"/>
      <c r="L60" s="182"/>
      <c r="M60" s="77"/>
      <c r="N60" s="77"/>
      <c r="O60" s="77"/>
      <c r="P60" s="77"/>
      <c r="Q60" s="182"/>
      <c r="R60" s="77"/>
    </row>
    <row r="61" spans="2:20" ht="15.75" x14ac:dyDescent="0.25">
      <c r="B61" s="513"/>
      <c r="C61" s="147"/>
      <c r="D61" s="514" t="s">
        <v>41</v>
      </c>
      <c r="E61" s="106">
        <v>61</v>
      </c>
      <c r="F61" s="182"/>
      <c r="G61" s="182"/>
      <c r="H61" s="182" t="s">
        <v>73</v>
      </c>
      <c r="I61" s="516">
        <v>0.73199999999999998</v>
      </c>
      <c r="J61" s="182">
        <v>10.64</v>
      </c>
      <c r="K61" s="182"/>
      <c r="L61" s="182"/>
      <c r="M61" s="77"/>
      <c r="N61" s="77"/>
      <c r="O61" s="77"/>
      <c r="P61" s="77"/>
      <c r="Q61" s="182"/>
      <c r="R61" s="77"/>
    </row>
    <row r="62" spans="2:20" ht="15.75" x14ac:dyDescent="0.25">
      <c r="B62" s="513"/>
      <c r="C62" s="147"/>
      <c r="D62" s="514"/>
      <c r="E62" s="106">
        <v>17.8</v>
      </c>
      <c r="F62" s="182"/>
      <c r="G62" s="182"/>
      <c r="H62" s="182" t="s">
        <v>56</v>
      </c>
      <c r="I62" s="517">
        <v>0.21</v>
      </c>
      <c r="J62" s="182">
        <v>599</v>
      </c>
      <c r="K62" s="182"/>
      <c r="L62" s="182"/>
      <c r="M62" s="182"/>
      <c r="N62" s="77"/>
      <c r="O62" s="77"/>
      <c r="P62" s="77"/>
      <c r="Q62" s="182"/>
      <c r="R62" s="77"/>
    </row>
    <row r="63" spans="2:20" ht="15.75" x14ac:dyDescent="0.25">
      <c r="B63" s="518"/>
      <c r="C63" s="147"/>
      <c r="D63" s="514"/>
      <c r="E63" s="106">
        <v>8</v>
      </c>
      <c r="F63" s="182"/>
      <c r="G63" s="182"/>
      <c r="H63" s="182" t="s">
        <v>58</v>
      </c>
      <c r="I63" s="516">
        <v>5.8000000000000003E-2</v>
      </c>
      <c r="J63" s="182">
        <v>264</v>
      </c>
      <c r="K63" s="182"/>
      <c r="L63" s="182"/>
      <c r="M63" s="77"/>
      <c r="N63" s="77"/>
      <c r="O63" s="77"/>
      <c r="P63" s="77"/>
      <c r="Q63" s="182"/>
      <c r="R63" s="77"/>
    </row>
    <row r="64" spans="2:20" x14ac:dyDescent="0.25">
      <c r="B64" s="77"/>
      <c r="C64" s="77"/>
      <c r="D64" s="182"/>
      <c r="E64" s="182"/>
      <c r="F64" s="182"/>
      <c r="G64" s="182"/>
      <c r="H64" s="182" t="s">
        <v>74</v>
      </c>
      <c r="I64" s="519">
        <f>E33-SUM(E34:E36)</f>
        <v>14.900883296003371</v>
      </c>
      <c r="J64" s="182">
        <v>17500</v>
      </c>
      <c r="K64" s="182"/>
      <c r="L64" s="182"/>
      <c r="M64" s="77"/>
      <c r="N64" s="77"/>
      <c r="O64" s="77"/>
      <c r="P64" s="77"/>
      <c r="Q64" s="182"/>
      <c r="R64" s="77"/>
    </row>
    <row r="65" spans="2:18" ht="15.75" x14ac:dyDescent="0.25">
      <c r="B65" s="77"/>
      <c r="C65" s="77"/>
      <c r="D65" s="183"/>
      <c r="E65" s="183"/>
      <c r="F65" s="183"/>
      <c r="G65" s="182"/>
      <c r="H65" s="182"/>
      <c r="I65" s="79">
        <v>0.33771503770151412</v>
      </c>
      <c r="J65" s="182">
        <v>47500</v>
      </c>
      <c r="K65" s="182"/>
      <c r="L65" s="182"/>
      <c r="M65" s="77"/>
      <c r="N65" s="77"/>
      <c r="O65" s="77"/>
      <c r="P65" s="77"/>
      <c r="Q65" s="182">
        <v>322.94016408965001</v>
      </c>
      <c r="R65" s="77"/>
    </row>
    <row r="66" spans="2:18" ht="15.75" x14ac:dyDescent="0.25">
      <c r="B66" s="77"/>
      <c r="C66" s="77"/>
      <c r="D66" s="79"/>
      <c r="E66" s="520"/>
      <c r="F66" s="520"/>
      <c r="G66" s="520"/>
      <c r="H66" s="182">
        <v>41.122213309999999</v>
      </c>
      <c r="I66" s="182">
        <f>H66/100</f>
        <v>0.4112221331</v>
      </c>
      <c r="J66" s="182"/>
      <c r="K66" s="182"/>
      <c r="L66" s="79">
        <v>3070.6861290890383</v>
      </c>
      <c r="M66" s="77"/>
      <c r="N66" s="77"/>
      <c r="O66" s="77"/>
      <c r="P66" s="77"/>
      <c r="Q66" s="182">
        <v>26</v>
      </c>
      <c r="R66" s="77"/>
    </row>
    <row r="67" spans="2:18" ht="15.75" x14ac:dyDescent="0.25">
      <c r="B67" s="77"/>
      <c r="C67" s="77"/>
      <c r="D67" s="79"/>
      <c r="E67" s="520"/>
      <c r="F67" s="520"/>
      <c r="G67" s="182"/>
      <c r="H67" s="182">
        <v>18.641936990000001</v>
      </c>
      <c r="I67" s="182"/>
      <c r="J67" s="521"/>
      <c r="K67" s="182"/>
      <c r="L67" s="79">
        <v>3073.8208539085376</v>
      </c>
      <c r="M67" s="77"/>
      <c r="N67" s="77"/>
      <c r="O67" s="77"/>
      <c r="P67" s="77"/>
      <c r="Q67" s="182">
        <f>Q65-Q66</f>
        <v>296.94016408965001</v>
      </c>
      <c r="R67" s="77"/>
    </row>
    <row r="68" spans="2:18" ht="15.75" x14ac:dyDescent="0.25">
      <c r="B68" s="77"/>
      <c r="C68" s="77"/>
      <c r="D68" s="79"/>
      <c r="E68" s="520"/>
      <c r="F68" s="520"/>
      <c r="G68" s="182"/>
      <c r="H68" s="182">
        <v>44.652243970000001</v>
      </c>
      <c r="I68" s="182">
        <f>H68/100</f>
        <v>0.4465224397</v>
      </c>
      <c r="J68" s="182"/>
      <c r="K68" s="182"/>
      <c r="L68" s="79">
        <v>3073.8208532207473</v>
      </c>
      <c r="M68" s="77"/>
      <c r="N68" s="77"/>
      <c r="O68" s="77"/>
      <c r="P68" s="77"/>
      <c r="Q68" s="182"/>
      <c r="R68" s="77"/>
    </row>
    <row r="69" spans="2:18" ht="15.75" x14ac:dyDescent="0.25">
      <c r="B69" s="77"/>
      <c r="C69" s="77"/>
      <c r="D69" s="79"/>
      <c r="E69" s="520"/>
      <c r="F69" s="520"/>
      <c r="G69" s="182"/>
      <c r="H69" s="182"/>
      <c r="I69" s="182"/>
      <c r="J69" s="182"/>
      <c r="K69" s="182"/>
      <c r="L69" s="79">
        <f>L67-L66</f>
        <v>3.1347248194992972</v>
      </c>
      <c r="M69" s="77"/>
      <c r="N69" s="77"/>
      <c r="O69" s="77"/>
      <c r="P69" s="77"/>
      <c r="Q69" s="182"/>
      <c r="R69" s="77"/>
    </row>
    <row r="70" spans="2:18" x14ac:dyDescent="0.25">
      <c r="B70" s="77"/>
      <c r="C70" s="77"/>
      <c r="D70" s="182"/>
      <c r="E70" s="183"/>
      <c r="F70" s="183"/>
      <c r="G70" s="182"/>
      <c r="H70" s="182"/>
      <c r="I70" s="182"/>
      <c r="J70" s="182"/>
      <c r="K70" s="182"/>
      <c r="L70" s="182"/>
      <c r="M70" s="77"/>
      <c r="N70" s="77"/>
      <c r="O70" s="77"/>
      <c r="P70" s="77"/>
      <c r="Q70" s="77"/>
      <c r="R70" s="77"/>
    </row>
    <row r="71" spans="2:18" ht="15.75" x14ac:dyDescent="0.25">
      <c r="B71" s="77"/>
      <c r="C71" s="77"/>
      <c r="D71" s="79"/>
      <c r="E71" s="522" t="s">
        <v>64</v>
      </c>
      <c r="F71" s="522" t="s">
        <v>65</v>
      </c>
      <c r="G71" s="182"/>
      <c r="H71" s="182"/>
      <c r="I71" s="182"/>
      <c r="J71" s="182"/>
      <c r="K71" s="182"/>
      <c r="L71" s="182"/>
      <c r="M71" s="77"/>
      <c r="N71" s="77"/>
      <c r="O71" s="77"/>
      <c r="P71" s="77"/>
      <c r="Q71" s="77"/>
      <c r="R71" s="77"/>
    </row>
    <row r="72" spans="2:18" ht="15.75" x14ac:dyDescent="0.25">
      <c r="B72" s="77"/>
      <c r="C72" s="77"/>
      <c r="D72" s="79" t="s">
        <v>75</v>
      </c>
      <c r="E72" s="523">
        <f>E6</f>
        <v>303.34957000000003</v>
      </c>
      <c r="F72" s="523">
        <f>I6</f>
        <v>303.34957000000003</v>
      </c>
      <c r="G72" s="182"/>
      <c r="H72" s="182"/>
      <c r="I72" s="182" t="s">
        <v>75</v>
      </c>
      <c r="J72" s="182">
        <v>278.90100000000001</v>
      </c>
      <c r="K72" s="182"/>
      <c r="L72" s="182"/>
      <c r="M72" s="77"/>
      <c r="N72" s="77"/>
      <c r="O72" s="77"/>
      <c r="P72" s="77"/>
      <c r="Q72" s="77"/>
      <c r="R72" s="77"/>
    </row>
    <row r="73" spans="2:18" ht="15.75" x14ac:dyDescent="0.25">
      <c r="B73" s="77"/>
      <c r="C73" s="77"/>
      <c r="D73" s="79" t="s">
        <v>39</v>
      </c>
      <c r="E73" s="523">
        <f>E7</f>
        <v>326.73877069235857</v>
      </c>
      <c r="F73" s="523">
        <f>I7</f>
        <v>326.73877069000002</v>
      </c>
      <c r="G73" s="182"/>
      <c r="H73" s="182"/>
      <c r="I73" s="182" t="s">
        <v>76</v>
      </c>
      <c r="J73" s="182">
        <v>76.499995893640758</v>
      </c>
      <c r="K73" s="182">
        <v>87.81811889954443</v>
      </c>
      <c r="L73" s="182">
        <v>1.1748490199999999</v>
      </c>
      <c r="M73" s="77"/>
      <c r="N73" s="77"/>
      <c r="O73" s="77"/>
      <c r="P73" s="77"/>
      <c r="Q73" s="77"/>
      <c r="R73" s="77"/>
    </row>
    <row r="74" spans="2:18" ht="15.75" x14ac:dyDescent="0.25">
      <c r="B74" s="77"/>
      <c r="C74" s="77"/>
      <c r="D74" s="79" t="s">
        <v>44</v>
      </c>
      <c r="E74" s="523">
        <f>E11</f>
        <v>620.29658315125801</v>
      </c>
      <c r="F74" s="523">
        <f>I11</f>
        <v>620.29658315125801</v>
      </c>
      <c r="G74" s="182"/>
      <c r="H74" s="182"/>
      <c r="I74" s="182" t="s">
        <v>77</v>
      </c>
      <c r="J74" s="182">
        <v>60.913864162431508</v>
      </c>
      <c r="K74" s="182">
        <v>11.1</v>
      </c>
      <c r="L74" s="182">
        <v>0.14849810364211355</v>
      </c>
      <c r="M74" s="77"/>
      <c r="N74" s="77"/>
      <c r="O74" s="77"/>
      <c r="P74" s="77"/>
      <c r="Q74" s="77"/>
      <c r="R74" s="77"/>
    </row>
    <row r="75" spans="2:18" ht="15.75" x14ac:dyDescent="0.25">
      <c r="B75" s="77"/>
      <c r="C75" s="77"/>
      <c r="D75" s="79" t="s">
        <v>78</v>
      </c>
      <c r="E75" s="523">
        <f>E14</f>
        <v>176.54550174899998</v>
      </c>
      <c r="F75" s="523">
        <f>I14</f>
        <v>176.54550174899998</v>
      </c>
      <c r="G75" s="182"/>
      <c r="H75" s="182"/>
      <c r="I75" s="182" t="s">
        <v>79</v>
      </c>
      <c r="J75" s="182">
        <v>22.500255640397249</v>
      </c>
      <c r="K75" s="182">
        <v>417.33350014307615</v>
      </c>
      <c r="L75" s="182">
        <v>5.5831741763578862</v>
      </c>
      <c r="M75" s="77"/>
      <c r="N75" s="77"/>
      <c r="O75" s="77"/>
      <c r="P75" s="77"/>
      <c r="Q75" s="77"/>
      <c r="R75" s="77"/>
    </row>
    <row r="76" spans="2:18" ht="15.75" x14ac:dyDescent="0.25">
      <c r="B76" s="77"/>
      <c r="C76" s="77"/>
      <c r="D76" s="79" t="s">
        <v>80</v>
      </c>
      <c r="E76" s="523">
        <f>E24</f>
        <v>156.0695744073837</v>
      </c>
      <c r="F76" s="523">
        <f>I24</f>
        <v>156.0695744073837</v>
      </c>
      <c r="G76" s="182"/>
      <c r="H76" s="182"/>
      <c r="I76" s="182" t="s">
        <v>81</v>
      </c>
      <c r="J76" s="182">
        <v>703.28356246195085</v>
      </c>
      <c r="K76" s="182"/>
      <c r="L76" s="182"/>
      <c r="M76" s="77"/>
      <c r="N76" s="77"/>
      <c r="O76" s="77"/>
      <c r="P76" s="77"/>
      <c r="Q76" s="77"/>
      <c r="R76" s="77"/>
    </row>
    <row r="77" spans="2:18" ht="15.75" x14ac:dyDescent="0.25">
      <c r="B77" s="77"/>
      <c r="C77" s="77"/>
      <c r="D77" s="79" t="s">
        <v>82</v>
      </c>
      <c r="E77" s="523">
        <f>E33</f>
        <v>824.34263921500349</v>
      </c>
      <c r="F77" s="523">
        <f>I33</f>
        <v>824.34263921500349</v>
      </c>
      <c r="G77" s="182"/>
      <c r="H77" s="182"/>
      <c r="I77" s="182" t="s">
        <v>83</v>
      </c>
      <c r="J77" s="182">
        <v>319.73016276436567</v>
      </c>
      <c r="K77" s="182"/>
      <c r="L77" s="182"/>
      <c r="M77" s="77"/>
      <c r="N77" s="77"/>
      <c r="O77" s="77"/>
      <c r="P77" s="77"/>
      <c r="Q77" s="77"/>
      <c r="R77" s="77"/>
    </row>
    <row r="78" spans="2:18" ht="15.75" x14ac:dyDescent="0.25">
      <c r="B78" s="77"/>
      <c r="C78" s="77"/>
      <c r="D78" s="79" t="s">
        <v>451</v>
      </c>
      <c r="E78" s="523">
        <f>E38</f>
        <v>367.35448316630954</v>
      </c>
      <c r="F78" s="523">
        <f>I38</f>
        <v>367.35448316630931</v>
      </c>
      <c r="G78" s="182"/>
      <c r="H78" s="182"/>
      <c r="I78" s="182" t="s">
        <v>84</v>
      </c>
      <c r="J78" s="182">
        <v>141.1</v>
      </c>
      <c r="K78" s="182">
        <v>516.25161904262063</v>
      </c>
      <c r="L78" s="182">
        <v>6.9065212999999996</v>
      </c>
      <c r="M78" s="77"/>
      <c r="N78" s="77"/>
      <c r="O78" s="77"/>
      <c r="P78" s="77"/>
      <c r="Q78" s="77"/>
      <c r="R78" s="77"/>
    </row>
    <row r="79" spans="2:18" ht="15.75" x14ac:dyDescent="0.25">
      <c r="B79" s="77"/>
      <c r="C79" s="77"/>
      <c r="D79" s="79" t="s">
        <v>452</v>
      </c>
      <c r="E79" s="523">
        <f>E42</f>
        <v>153.80000000000001</v>
      </c>
      <c r="F79" s="523">
        <f>I42</f>
        <v>153.80000000000001</v>
      </c>
      <c r="G79" s="182"/>
      <c r="H79" s="182"/>
      <c r="I79" s="182"/>
      <c r="J79" s="182"/>
      <c r="K79" s="182"/>
      <c r="L79" s="182"/>
      <c r="M79" s="77"/>
      <c r="N79" s="77"/>
      <c r="O79" s="77"/>
      <c r="P79" s="77"/>
      <c r="Q79" s="77"/>
      <c r="R79" s="77"/>
    </row>
    <row r="80" spans="2:18" ht="15.75" x14ac:dyDescent="0.25">
      <c r="B80" s="77"/>
      <c r="C80" s="77"/>
      <c r="D80" s="524" t="s">
        <v>85</v>
      </c>
      <c r="E80" s="523">
        <f>E43</f>
        <v>502.19097761868716</v>
      </c>
      <c r="F80" s="523">
        <f>I43</f>
        <v>502.19097761868716</v>
      </c>
      <c r="G80" s="182"/>
      <c r="H80" s="182"/>
      <c r="I80" s="182" t="s">
        <v>86</v>
      </c>
      <c r="J80" s="182">
        <v>1.1748490199999999</v>
      </c>
      <c r="K80" s="182"/>
      <c r="L80" s="182"/>
      <c r="M80" s="77"/>
      <c r="N80" s="77"/>
      <c r="O80" s="77"/>
      <c r="P80" s="77"/>
      <c r="Q80" s="77"/>
      <c r="R80" s="77"/>
    </row>
    <row r="81" spans="2:18" ht="15.75" x14ac:dyDescent="0.25">
      <c r="B81" s="77"/>
      <c r="C81" s="77"/>
      <c r="D81" s="523"/>
      <c r="E81" s="523" t="s">
        <v>64</v>
      </c>
      <c r="F81" s="523" t="s">
        <v>87</v>
      </c>
      <c r="G81" s="79" t="s">
        <v>453</v>
      </c>
      <c r="H81" s="182"/>
      <c r="I81" s="182" t="s">
        <v>88</v>
      </c>
      <c r="J81" s="182">
        <v>5.7316722799999997</v>
      </c>
      <c r="K81" s="182"/>
      <c r="L81" s="182"/>
      <c r="M81" s="77"/>
      <c r="N81" s="77"/>
      <c r="O81" s="77"/>
      <c r="P81" s="77"/>
      <c r="Q81" s="77"/>
      <c r="R81" s="77"/>
    </row>
    <row r="82" spans="2:18" ht="15.75" x14ac:dyDescent="0.25">
      <c r="B82" s="77"/>
      <c r="C82" s="77"/>
      <c r="D82" s="79" t="s">
        <v>89</v>
      </c>
      <c r="E82" s="523">
        <f>F5</f>
        <v>18.865666978901899</v>
      </c>
      <c r="F82" s="523">
        <f>J5</f>
        <v>18.865666978873794</v>
      </c>
      <c r="G82" s="523">
        <f>G5</f>
        <v>26.1</v>
      </c>
      <c r="H82" s="182"/>
      <c r="I82" s="182"/>
      <c r="J82" s="182"/>
      <c r="K82" s="182"/>
      <c r="L82" s="182"/>
      <c r="M82" s="77"/>
      <c r="N82" s="77"/>
      <c r="O82" s="77"/>
      <c r="P82" s="77"/>
      <c r="Q82" s="77"/>
      <c r="R82" s="77"/>
    </row>
    <row r="83" spans="2:18" ht="15.75" x14ac:dyDescent="0.25">
      <c r="B83" s="77"/>
      <c r="C83" s="77"/>
      <c r="D83" s="79" t="s">
        <v>75</v>
      </c>
      <c r="E83" s="523">
        <f>F6</f>
        <v>3.6152191824466771</v>
      </c>
      <c r="F83" s="523">
        <f>J6</f>
        <v>3.6152191824466771</v>
      </c>
      <c r="G83" s="523">
        <f>G6</f>
        <v>3.2</v>
      </c>
      <c r="H83" s="182"/>
      <c r="I83" s="182"/>
      <c r="J83" s="182"/>
      <c r="K83" s="182"/>
      <c r="L83" s="182"/>
      <c r="M83" s="77"/>
      <c r="N83" s="77"/>
      <c r="O83" s="77"/>
      <c r="P83" s="77"/>
      <c r="Q83" s="77"/>
      <c r="R83" s="77"/>
    </row>
    <row r="84" spans="2:18" ht="15.75" x14ac:dyDescent="0.25">
      <c r="B84" s="77"/>
      <c r="C84" s="77"/>
      <c r="D84" s="79" t="s">
        <v>39</v>
      </c>
      <c r="E84" s="523">
        <f>F7</f>
        <v>3.8939638894364048</v>
      </c>
      <c r="F84" s="523">
        <f>J7</f>
        <v>3.8939638894082957</v>
      </c>
      <c r="G84" s="523">
        <f>G7</f>
        <v>9.3000000000000007</v>
      </c>
      <c r="H84" s="182"/>
      <c r="I84" s="182"/>
      <c r="J84" s="525" t="s">
        <v>58</v>
      </c>
      <c r="K84" s="525" t="s">
        <v>90</v>
      </c>
      <c r="L84" s="525" t="s">
        <v>73</v>
      </c>
      <c r="M84" s="77"/>
      <c r="N84" s="77"/>
      <c r="O84" s="77"/>
      <c r="P84" s="77"/>
      <c r="Q84" s="77"/>
      <c r="R84" s="77"/>
    </row>
    <row r="85" spans="2:18" ht="15.75" x14ac:dyDescent="0.25">
      <c r="B85" s="77"/>
      <c r="C85" s="77"/>
      <c r="D85" s="79" t="s">
        <v>44</v>
      </c>
      <c r="E85" s="523">
        <f>F11</f>
        <v>7.3924881654342158</v>
      </c>
      <c r="F85" s="523">
        <f>J11</f>
        <v>7.3924881654342158</v>
      </c>
      <c r="G85" s="523">
        <f>G11</f>
        <v>7.1</v>
      </c>
      <c r="H85" s="182"/>
      <c r="I85" s="182"/>
      <c r="J85" s="517">
        <v>0.2</v>
      </c>
      <c r="K85" s="517">
        <v>0.06</v>
      </c>
      <c r="L85" s="517">
        <v>0.15</v>
      </c>
      <c r="M85" s="77"/>
      <c r="N85" s="77"/>
      <c r="O85" s="77"/>
      <c r="P85" s="77"/>
      <c r="Q85" s="77"/>
      <c r="R85" s="77"/>
    </row>
    <row r="86" spans="2:18" ht="15.75" x14ac:dyDescent="0.25">
      <c r="B86" s="77"/>
      <c r="C86" s="77"/>
      <c r="D86" s="79" t="s">
        <v>78</v>
      </c>
      <c r="E86" s="523">
        <f>F14</f>
        <v>2.1040105133416152</v>
      </c>
      <c r="F86" s="523">
        <f>J14</f>
        <v>2.1040105133416152</v>
      </c>
      <c r="G86" s="523">
        <f>G14</f>
        <v>1.9</v>
      </c>
      <c r="H86" s="182"/>
      <c r="I86" s="182"/>
      <c r="J86" s="517">
        <v>0.20100000000000001</v>
      </c>
      <c r="K86" s="517">
        <v>6.0999999999999999E-2</v>
      </c>
      <c r="L86" s="517">
        <v>0.151</v>
      </c>
      <c r="M86" s="77"/>
      <c r="N86" s="77"/>
      <c r="O86" s="77"/>
      <c r="P86" s="77"/>
      <c r="Q86" s="77"/>
      <c r="R86" s="77"/>
    </row>
    <row r="87" spans="2:18" ht="15.75" x14ac:dyDescent="0.25">
      <c r="B87" s="77"/>
      <c r="C87" s="77"/>
      <c r="D87" s="79" t="s">
        <v>91</v>
      </c>
      <c r="E87" s="523">
        <f>F25</f>
        <v>0.27053104259069682</v>
      </c>
      <c r="F87" s="523">
        <f>J25</f>
        <v>0.27053104259069682</v>
      </c>
      <c r="G87" s="523">
        <f>G25</f>
        <v>1</v>
      </c>
      <c r="H87" s="182"/>
      <c r="I87" s="182"/>
      <c r="J87" s="517">
        <v>0.20200000000000001</v>
      </c>
      <c r="K87" s="517">
        <v>6.2E-2</v>
      </c>
      <c r="L87" s="517">
        <v>0.152</v>
      </c>
      <c r="M87" s="77"/>
      <c r="N87" s="77"/>
      <c r="O87" s="77"/>
      <c r="P87" s="77"/>
      <c r="Q87" s="77"/>
      <c r="R87" s="77"/>
    </row>
    <row r="88" spans="2:18" ht="15.75" x14ac:dyDescent="0.25">
      <c r="B88" s="77"/>
      <c r="C88" s="77"/>
      <c r="D88" s="79" t="s">
        <v>92</v>
      </c>
      <c r="E88" s="523">
        <f>F32</f>
        <v>16.035186754211409</v>
      </c>
      <c r="F88" s="523">
        <f>J32</f>
        <v>16.035186754211406</v>
      </c>
      <c r="G88" s="523">
        <f>G32</f>
        <v>13.7</v>
      </c>
      <c r="H88" s="182"/>
      <c r="I88" s="182"/>
      <c r="J88" s="517">
        <v>0.20300000000000001</v>
      </c>
      <c r="K88" s="517">
        <v>6.3E-2</v>
      </c>
      <c r="L88" s="517">
        <v>0.153</v>
      </c>
      <c r="M88" s="77"/>
      <c r="N88" s="77"/>
      <c r="O88" s="77"/>
      <c r="P88" s="77"/>
      <c r="Q88" s="77"/>
      <c r="R88" s="77"/>
    </row>
    <row r="89" spans="2:18" x14ac:dyDescent="0.25">
      <c r="B89" s="77"/>
      <c r="C89" s="77"/>
      <c r="D89" s="182"/>
      <c r="E89" s="520"/>
      <c r="F89" s="520"/>
      <c r="G89" s="520"/>
      <c r="H89" s="182"/>
      <c r="I89" s="182"/>
      <c r="J89" s="517">
        <v>0.20399999999999999</v>
      </c>
      <c r="K89" s="517">
        <v>6.4000000000000001E-2</v>
      </c>
      <c r="L89" s="517">
        <v>0.154</v>
      </c>
      <c r="M89" s="77"/>
      <c r="N89" s="77"/>
      <c r="O89" s="77"/>
      <c r="P89" s="77"/>
      <c r="Q89" s="77"/>
      <c r="R89" s="77"/>
    </row>
    <row r="90" spans="2:18" x14ac:dyDescent="0.25">
      <c r="B90" s="77"/>
      <c r="C90" s="77"/>
      <c r="D90" s="182"/>
      <c r="E90" s="182"/>
      <c r="F90" s="182"/>
      <c r="G90" s="182"/>
      <c r="H90" s="182"/>
      <c r="I90" s="182"/>
      <c r="J90" s="517">
        <v>0.20499999999999999</v>
      </c>
      <c r="K90" s="517">
        <v>6.5000000000000002E-2</v>
      </c>
      <c r="L90" s="517">
        <v>0.155</v>
      </c>
      <c r="M90" s="77"/>
      <c r="N90" s="77"/>
      <c r="O90" s="77"/>
      <c r="P90" s="77"/>
      <c r="Q90" s="77"/>
      <c r="R90" s="77"/>
    </row>
    <row r="91" spans="2:18" ht="15.75" x14ac:dyDescent="0.25">
      <c r="B91" s="77"/>
      <c r="C91" s="77"/>
      <c r="D91" s="79"/>
      <c r="E91" s="526" t="s">
        <v>93</v>
      </c>
      <c r="F91" s="526" t="s">
        <v>65</v>
      </c>
      <c r="G91" s="182"/>
      <c r="H91" s="182"/>
      <c r="I91" s="182"/>
      <c r="J91" s="517">
        <v>0.20599999999999999</v>
      </c>
      <c r="K91" s="517">
        <v>6.6000000000000003E-2</v>
      </c>
      <c r="L91" s="517">
        <v>0.156</v>
      </c>
      <c r="M91" s="77"/>
      <c r="N91" s="77"/>
      <c r="O91" s="77"/>
      <c r="P91" s="77"/>
      <c r="Q91" s="77"/>
      <c r="R91" s="77"/>
    </row>
    <row r="92" spans="2:18" ht="15.75" x14ac:dyDescent="0.25">
      <c r="B92" s="77"/>
      <c r="C92" s="77"/>
      <c r="D92" s="527" t="s">
        <v>454</v>
      </c>
      <c r="E92" s="528">
        <f>E51</f>
        <v>-187</v>
      </c>
      <c r="F92" s="528">
        <f>I51</f>
        <v>-187.00000000235787</v>
      </c>
      <c r="G92" s="182">
        <v>-400</v>
      </c>
      <c r="H92" s="182">
        <v>-450</v>
      </c>
      <c r="I92" s="182">
        <v>-300</v>
      </c>
      <c r="J92" s="517">
        <v>0.20699999999999999</v>
      </c>
      <c r="K92" s="517">
        <v>6.7000000000000004E-2</v>
      </c>
      <c r="L92" s="517">
        <v>0.157</v>
      </c>
      <c r="M92" s="77"/>
      <c r="N92" s="77"/>
      <c r="O92" s="77"/>
      <c r="P92" s="77"/>
      <c r="Q92" s="77"/>
      <c r="R92" s="77"/>
    </row>
    <row r="93" spans="2:18" ht="15.75" x14ac:dyDescent="0.25">
      <c r="B93" s="77"/>
      <c r="C93" s="77"/>
      <c r="D93" s="527" t="s">
        <v>455</v>
      </c>
      <c r="E93" s="528">
        <f>F51</f>
        <v>-2.228603742927767</v>
      </c>
      <c r="F93" s="528">
        <f>J51</f>
        <v>-2.2286037429558672</v>
      </c>
      <c r="G93" s="182">
        <v>-6</v>
      </c>
      <c r="H93" s="182">
        <v>-7</v>
      </c>
      <c r="I93" s="182">
        <v>-5</v>
      </c>
      <c r="J93" s="517">
        <v>0.20799999999999999</v>
      </c>
      <c r="K93" s="517">
        <v>6.8000000000000005E-2</v>
      </c>
      <c r="L93" s="517">
        <v>0.158</v>
      </c>
      <c r="M93" s="77"/>
      <c r="N93" s="77"/>
      <c r="O93" s="77"/>
      <c r="P93" s="77"/>
      <c r="Q93" s="77"/>
      <c r="R93" s="77"/>
    </row>
    <row r="94" spans="2:18" x14ac:dyDescent="0.25">
      <c r="B94" s="77"/>
      <c r="C94" s="77"/>
      <c r="D94" s="182"/>
      <c r="E94" s="182"/>
      <c r="F94" s="182"/>
      <c r="G94" s="182"/>
      <c r="H94" s="182"/>
      <c r="I94" s="182"/>
      <c r="J94" s="517">
        <v>0.20899999999999999</v>
      </c>
      <c r="K94" s="517">
        <v>6.9000000000000006E-2</v>
      </c>
      <c r="L94" s="517">
        <v>0.159</v>
      </c>
      <c r="M94" s="77"/>
      <c r="N94" s="77"/>
      <c r="O94" s="77"/>
      <c r="P94" s="77"/>
      <c r="Q94" s="77"/>
      <c r="R94" s="77"/>
    </row>
    <row r="95" spans="2:18" x14ac:dyDescent="0.25">
      <c r="B95" s="77"/>
      <c r="C95" s="77"/>
      <c r="D95" s="182"/>
      <c r="E95" s="182"/>
      <c r="F95" s="182"/>
      <c r="G95" s="182"/>
      <c r="H95" s="182"/>
      <c r="I95" s="182"/>
      <c r="J95" s="517">
        <v>0.21</v>
      </c>
      <c r="K95" s="517">
        <v>7.0000000000000007E-2</v>
      </c>
      <c r="L95" s="517">
        <v>0.16</v>
      </c>
      <c r="M95" s="77"/>
      <c r="N95" s="77"/>
      <c r="O95" s="77"/>
      <c r="P95" s="77"/>
      <c r="Q95" s="77"/>
      <c r="R95" s="77"/>
    </row>
    <row r="96" spans="2:18" x14ac:dyDescent="0.25">
      <c r="B96" s="77"/>
      <c r="C96" s="77"/>
      <c r="D96" s="182"/>
      <c r="E96" s="182"/>
      <c r="F96" s="182"/>
      <c r="G96" s="182"/>
      <c r="H96" s="182"/>
      <c r="I96" s="182"/>
      <c r="J96" s="517">
        <v>0.21099999999999999</v>
      </c>
      <c r="K96" s="517">
        <v>7.0999999999999994E-2</v>
      </c>
      <c r="L96" s="517">
        <v>0.161</v>
      </c>
      <c r="M96" s="77"/>
      <c r="N96" s="77"/>
      <c r="O96" s="77"/>
      <c r="P96" s="77"/>
      <c r="Q96" s="77"/>
      <c r="R96" s="77"/>
    </row>
    <row r="97" spans="2:14" x14ac:dyDescent="0.25">
      <c r="B97" s="77"/>
      <c r="C97" s="77"/>
      <c r="D97" s="182"/>
      <c r="E97" s="182"/>
      <c r="F97" s="182"/>
      <c r="G97" s="182"/>
      <c r="H97" s="182"/>
      <c r="I97" s="182"/>
      <c r="J97" s="517">
        <v>0.21199999999999999</v>
      </c>
      <c r="K97" s="517">
        <v>7.1999999999999995E-2</v>
      </c>
      <c r="L97" s="517">
        <v>0.16200000000000001</v>
      </c>
      <c r="M97" s="77"/>
      <c r="N97" s="77"/>
    </row>
    <row r="98" spans="2:14" x14ac:dyDescent="0.25">
      <c r="B98" s="77"/>
      <c r="C98" s="77"/>
      <c r="D98" s="182"/>
      <c r="E98" s="182"/>
      <c r="F98" s="182"/>
      <c r="G98" s="182"/>
      <c r="H98" s="182"/>
      <c r="I98" s="182"/>
      <c r="J98" s="517">
        <v>0.21299999999999999</v>
      </c>
      <c r="K98" s="517">
        <v>7.2999999999999995E-2</v>
      </c>
      <c r="L98" s="517">
        <v>0.16300000000000001</v>
      </c>
      <c r="M98" s="77"/>
      <c r="N98" s="77"/>
    </row>
    <row r="99" spans="2:14" x14ac:dyDescent="0.25">
      <c r="B99" s="77"/>
      <c r="C99" s="77"/>
      <c r="D99" s="182"/>
      <c r="E99" s="182"/>
      <c r="F99" s="182"/>
      <c r="G99" s="182"/>
      <c r="H99" s="182"/>
      <c r="I99" s="182"/>
      <c r="J99" s="517">
        <v>0.214</v>
      </c>
      <c r="K99" s="517">
        <v>7.3999999999999996E-2</v>
      </c>
      <c r="L99" s="517">
        <v>0.16400000000000001</v>
      </c>
      <c r="M99" s="77"/>
      <c r="N99" s="77"/>
    </row>
    <row r="100" spans="2:14" x14ac:dyDescent="0.25">
      <c r="B100" s="77"/>
      <c r="C100" s="77"/>
      <c r="D100" s="182"/>
      <c r="E100" s="182">
        <v>374.74139767999998</v>
      </c>
      <c r="F100" s="182">
        <f>E100+E101-E102</f>
        <v>206.077986966</v>
      </c>
      <c r="G100" s="182"/>
      <c r="H100" s="182"/>
      <c r="I100" s="182"/>
      <c r="J100" s="517">
        <v>0.215</v>
      </c>
      <c r="K100" s="517">
        <v>7.4999999999999997E-2</v>
      </c>
      <c r="L100" s="517">
        <v>0.16500000000000001</v>
      </c>
      <c r="M100" s="77"/>
      <c r="N100" s="77"/>
    </row>
    <row r="101" spans="2:14" x14ac:dyDescent="0.25">
      <c r="B101" s="77"/>
      <c r="C101" s="77"/>
      <c r="D101" s="182"/>
      <c r="E101" s="182">
        <v>1.0154372860000001</v>
      </c>
      <c r="F101" s="182"/>
      <c r="G101" s="182"/>
      <c r="H101" s="182"/>
      <c r="I101" s="182"/>
      <c r="J101" s="517">
        <v>0.216</v>
      </c>
      <c r="K101" s="517">
        <v>7.5999999999999998E-2</v>
      </c>
      <c r="L101" s="517">
        <v>0.16600000000000001</v>
      </c>
      <c r="M101" s="77"/>
      <c r="N101" s="77"/>
    </row>
    <row r="102" spans="2:14" x14ac:dyDescent="0.25">
      <c r="B102" s="77"/>
      <c r="C102" s="77"/>
      <c r="D102" s="182"/>
      <c r="E102" s="182">
        <v>169.67884799999999</v>
      </c>
      <c r="F102" s="182"/>
      <c r="G102" s="182"/>
      <c r="H102" s="182"/>
      <c r="I102" s="182"/>
      <c r="J102" s="517">
        <v>0.217</v>
      </c>
      <c r="K102" s="517">
        <v>7.6999999999999999E-2</v>
      </c>
      <c r="L102" s="517">
        <v>0.16700000000000001</v>
      </c>
      <c r="M102" s="77"/>
      <c r="N102" s="77"/>
    </row>
    <row r="103" spans="2:14" x14ac:dyDescent="0.25">
      <c r="B103" s="77"/>
      <c r="C103" s="77"/>
      <c r="D103" s="182"/>
      <c r="E103" s="182"/>
      <c r="F103" s="182"/>
      <c r="G103" s="182"/>
      <c r="H103" s="182"/>
      <c r="I103" s="182"/>
      <c r="J103" s="517">
        <v>0.218</v>
      </c>
      <c r="K103" s="517">
        <v>7.8E-2</v>
      </c>
      <c r="L103" s="517">
        <v>0.16800000000000001</v>
      </c>
      <c r="M103" s="77"/>
      <c r="N103" s="77"/>
    </row>
    <row r="104" spans="2:14" x14ac:dyDescent="0.25">
      <c r="B104" s="77"/>
      <c r="C104" s="77"/>
      <c r="D104" s="182"/>
      <c r="E104" s="182"/>
      <c r="F104" s="182"/>
      <c r="G104" s="182"/>
      <c r="H104" s="182"/>
      <c r="I104" s="182"/>
      <c r="J104" s="517">
        <v>0.219</v>
      </c>
      <c r="K104" s="517">
        <v>7.9000000000000001E-2</v>
      </c>
      <c r="L104" s="517">
        <v>0.16900000000000001</v>
      </c>
      <c r="M104" s="77"/>
      <c r="N104" s="77"/>
    </row>
    <row r="105" spans="2:14" x14ac:dyDescent="0.25">
      <c r="B105" s="77"/>
      <c r="C105" s="77"/>
      <c r="D105" s="182"/>
      <c r="E105" s="182"/>
      <c r="F105" s="182"/>
      <c r="G105" s="182"/>
      <c r="H105" s="182"/>
      <c r="I105" s="182"/>
      <c r="J105" s="517">
        <v>0.22</v>
      </c>
      <c r="K105" s="517">
        <v>0.08</v>
      </c>
      <c r="L105" s="517">
        <v>0.17</v>
      </c>
      <c r="M105" s="77"/>
      <c r="N105" s="77"/>
    </row>
    <row r="106" spans="2:14" x14ac:dyDescent="0.25">
      <c r="B106" s="77"/>
      <c r="C106" s="77"/>
      <c r="D106" s="182"/>
      <c r="E106" s="182"/>
      <c r="F106" s="182"/>
      <c r="G106" s="182"/>
      <c r="H106" s="182"/>
      <c r="I106" s="182"/>
      <c r="J106" s="517">
        <v>0.221</v>
      </c>
      <c r="K106" s="517">
        <v>8.1000000000000003E-2</v>
      </c>
      <c r="L106" s="517">
        <v>0.17100000000000001</v>
      </c>
      <c r="M106" s="77"/>
      <c r="N106" s="77"/>
    </row>
    <row r="107" spans="2:14" x14ac:dyDescent="0.25">
      <c r="B107" s="77"/>
      <c r="C107" s="77"/>
      <c r="D107" s="182"/>
      <c r="E107" s="182"/>
      <c r="F107" s="182"/>
      <c r="G107" s="182"/>
      <c r="H107" s="182"/>
      <c r="I107" s="182"/>
      <c r="J107" s="517">
        <v>0.222</v>
      </c>
      <c r="K107" s="517">
        <v>8.2000000000000003E-2</v>
      </c>
      <c r="L107" s="517">
        <v>0.17199999999999999</v>
      </c>
      <c r="M107" s="77"/>
      <c r="N107" s="77"/>
    </row>
    <row r="108" spans="2:14" x14ac:dyDescent="0.25">
      <c r="B108" s="77"/>
      <c r="C108" s="77"/>
      <c r="D108" s="182"/>
      <c r="E108" s="182"/>
      <c r="F108" s="182"/>
      <c r="G108" s="182"/>
      <c r="H108" s="182"/>
      <c r="I108" s="182"/>
      <c r="J108" s="517">
        <v>0.223</v>
      </c>
      <c r="K108" s="517">
        <v>8.3000000000000004E-2</v>
      </c>
      <c r="L108" s="517">
        <v>0.17299999999999999</v>
      </c>
      <c r="M108" s="77"/>
      <c r="N108" s="77"/>
    </row>
    <row r="109" spans="2:14" x14ac:dyDescent="0.25">
      <c r="B109" s="77"/>
      <c r="C109" s="77"/>
      <c r="D109" s="182"/>
      <c r="E109" s="182"/>
      <c r="F109" s="182"/>
      <c r="G109" s="182"/>
      <c r="H109" s="182"/>
      <c r="I109" s="182"/>
      <c r="J109" s="517">
        <v>0.224</v>
      </c>
      <c r="K109" s="517">
        <v>8.4000000000000005E-2</v>
      </c>
      <c r="L109" s="517">
        <v>0.17399999999999999</v>
      </c>
      <c r="M109" s="77"/>
      <c r="N109" s="77"/>
    </row>
    <row r="110" spans="2:14" x14ac:dyDescent="0.25">
      <c r="B110" s="77"/>
      <c r="C110" s="77"/>
      <c r="D110" s="182"/>
      <c r="E110" s="182"/>
      <c r="F110" s="182"/>
      <c r="G110" s="182"/>
      <c r="H110" s="182"/>
      <c r="I110" s="182"/>
      <c r="J110" s="517">
        <v>0.22500000000000001</v>
      </c>
      <c r="K110" s="517">
        <v>8.5000000000000006E-2</v>
      </c>
      <c r="L110" s="517">
        <v>0.17499999999999999</v>
      </c>
      <c r="M110" s="77"/>
      <c r="N110" s="77"/>
    </row>
    <row r="111" spans="2:14" x14ac:dyDescent="0.25">
      <c r="B111" s="77"/>
      <c r="C111" s="77"/>
      <c r="D111" s="182"/>
      <c r="E111" s="182"/>
      <c r="F111" s="182"/>
      <c r="G111" s="182"/>
      <c r="H111" s="182"/>
      <c r="I111" s="182"/>
      <c r="J111" s="517">
        <v>0.22600000000000001</v>
      </c>
      <c r="K111" s="517">
        <v>8.5999999999999993E-2</v>
      </c>
      <c r="L111" s="517">
        <v>0.17599999999999999</v>
      </c>
      <c r="M111" s="77"/>
      <c r="N111" s="77"/>
    </row>
    <row r="112" spans="2:14" x14ac:dyDescent="0.25">
      <c r="B112" s="77"/>
      <c r="C112" s="77"/>
      <c r="D112" s="182"/>
      <c r="E112" s="182"/>
      <c r="F112" s="182"/>
      <c r="G112" s="182"/>
      <c r="H112" s="182"/>
      <c r="I112" s="182"/>
      <c r="J112" s="517">
        <v>0.22700000000000001</v>
      </c>
      <c r="K112" s="517">
        <v>8.6999999999999994E-2</v>
      </c>
      <c r="L112" s="517">
        <v>0.17699999999999999</v>
      </c>
      <c r="M112" s="77"/>
      <c r="N112" s="77"/>
    </row>
    <row r="113" spans="2:14" x14ac:dyDescent="0.25">
      <c r="B113" s="77"/>
      <c r="C113" s="77"/>
      <c r="D113" s="182"/>
      <c r="E113" s="182"/>
      <c r="F113" s="182"/>
      <c r="G113" s="182"/>
      <c r="H113" s="182"/>
      <c r="I113" s="182"/>
      <c r="J113" s="517">
        <v>0.22800000000000001</v>
      </c>
      <c r="K113" s="517">
        <v>8.7999999999999995E-2</v>
      </c>
      <c r="L113" s="517">
        <v>0.17799999999999999</v>
      </c>
      <c r="M113" s="77"/>
      <c r="N113" s="77"/>
    </row>
    <row r="114" spans="2:14" x14ac:dyDescent="0.25">
      <c r="B114" s="77"/>
      <c r="C114" s="77"/>
      <c r="D114" s="182"/>
      <c r="E114" s="182"/>
      <c r="F114" s="182"/>
      <c r="G114" s="182"/>
      <c r="H114" s="182"/>
      <c r="I114" s="182"/>
      <c r="J114" s="517">
        <v>0.22900000000000001</v>
      </c>
      <c r="K114" s="517">
        <v>8.8999999999999996E-2</v>
      </c>
      <c r="L114" s="517">
        <v>0.17899999999999999</v>
      </c>
      <c r="M114" s="77"/>
      <c r="N114" s="77"/>
    </row>
    <row r="115" spans="2:14" x14ac:dyDescent="0.25">
      <c r="B115" s="77"/>
      <c r="C115" s="77"/>
      <c r="D115" s="182"/>
      <c r="E115" s="182"/>
      <c r="F115" s="182"/>
      <c r="G115" s="182"/>
      <c r="H115" s="182"/>
      <c r="I115" s="182"/>
      <c r="J115" s="517">
        <v>0.23</v>
      </c>
      <c r="K115" s="517">
        <v>0.09</v>
      </c>
      <c r="L115" s="517">
        <v>0.18</v>
      </c>
      <c r="M115" s="77"/>
      <c r="N115" s="77"/>
    </row>
    <row r="116" spans="2:14" x14ac:dyDescent="0.25">
      <c r="B116" s="77"/>
      <c r="C116" s="77"/>
      <c r="D116" s="182"/>
      <c r="E116" s="182"/>
      <c r="F116" s="182"/>
      <c r="G116" s="182"/>
      <c r="H116" s="182"/>
      <c r="I116" s="182"/>
      <c r="J116" s="517">
        <v>0.23100000000000001</v>
      </c>
      <c r="K116" s="517">
        <v>9.0999999999999998E-2</v>
      </c>
      <c r="L116" s="517">
        <v>0.18099999999999999</v>
      </c>
      <c r="M116" s="77"/>
      <c r="N116" s="77"/>
    </row>
    <row r="117" spans="2:14" x14ac:dyDescent="0.25">
      <c r="B117" s="77"/>
      <c r="C117" s="77"/>
      <c r="D117" s="182"/>
      <c r="E117" s="182"/>
      <c r="F117" s="182"/>
      <c r="G117" s="182"/>
      <c r="H117" s="182"/>
      <c r="I117" s="182"/>
      <c r="J117" s="517">
        <v>0.23200000000000001</v>
      </c>
      <c r="K117" s="517">
        <v>9.1999999999999998E-2</v>
      </c>
      <c r="L117" s="517">
        <v>0.182</v>
      </c>
      <c r="M117" s="77"/>
      <c r="N117" s="77"/>
    </row>
    <row r="118" spans="2:14" x14ac:dyDescent="0.25">
      <c r="B118" s="77"/>
      <c r="C118" s="77"/>
      <c r="D118" s="182"/>
      <c r="E118" s="182"/>
      <c r="F118" s="182"/>
      <c r="G118" s="182"/>
      <c r="H118" s="182"/>
      <c r="I118" s="182"/>
      <c r="J118" s="517">
        <v>0.23300000000000001</v>
      </c>
      <c r="K118" s="517">
        <v>9.2999999999999999E-2</v>
      </c>
      <c r="L118" s="517">
        <v>0.183</v>
      </c>
      <c r="M118" s="77"/>
      <c r="N118" s="77"/>
    </row>
    <row r="119" spans="2:14" x14ac:dyDescent="0.25">
      <c r="B119" s="77"/>
      <c r="C119" s="77"/>
      <c r="D119" s="182"/>
      <c r="E119" s="182"/>
      <c r="F119" s="182"/>
      <c r="G119" s="182"/>
      <c r="H119" s="182"/>
      <c r="I119" s="182"/>
      <c r="J119" s="517">
        <v>0.23400000000000001</v>
      </c>
      <c r="K119" s="517">
        <v>9.4E-2</v>
      </c>
      <c r="L119" s="517">
        <v>0.184</v>
      </c>
      <c r="M119" s="77"/>
      <c r="N119" s="77"/>
    </row>
    <row r="120" spans="2:14" x14ac:dyDescent="0.25">
      <c r="B120" s="77"/>
      <c r="C120" s="77"/>
      <c r="D120" s="182"/>
      <c r="E120" s="182"/>
      <c r="F120" s="182"/>
      <c r="G120" s="182"/>
      <c r="H120" s="182"/>
      <c r="I120" s="182"/>
      <c r="J120" s="517">
        <v>0.23499999999999999</v>
      </c>
      <c r="K120" s="517">
        <v>9.5000000000000001E-2</v>
      </c>
      <c r="L120" s="517">
        <v>0.185</v>
      </c>
      <c r="M120" s="77"/>
      <c r="N120" s="77"/>
    </row>
    <row r="121" spans="2:14" x14ac:dyDescent="0.25">
      <c r="B121" s="77"/>
      <c r="C121" s="77"/>
      <c r="D121" s="182"/>
      <c r="E121" s="182"/>
      <c r="F121" s="182"/>
      <c r="G121" s="182"/>
      <c r="H121" s="182"/>
      <c r="I121" s="182"/>
      <c r="J121" s="517">
        <v>0.23599999999999999</v>
      </c>
      <c r="K121" s="517">
        <v>9.6000000000000002E-2</v>
      </c>
      <c r="L121" s="517">
        <v>0.186</v>
      </c>
      <c r="M121" s="77"/>
      <c r="N121" s="77"/>
    </row>
    <row r="122" spans="2:14" x14ac:dyDescent="0.25">
      <c r="B122" s="77"/>
      <c r="C122" s="77"/>
      <c r="D122" s="182"/>
      <c r="E122" s="182"/>
      <c r="F122" s="182"/>
      <c r="G122" s="182"/>
      <c r="H122" s="182"/>
      <c r="I122" s="182"/>
      <c r="J122" s="517">
        <v>0.23699999999999999</v>
      </c>
      <c r="K122" s="517">
        <v>9.7000000000000003E-2</v>
      </c>
      <c r="L122" s="517">
        <v>0.187</v>
      </c>
      <c r="M122" s="77"/>
      <c r="N122" s="77"/>
    </row>
    <row r="123" spans="2:14" x14ac:dyDescent="0.25">
      <c r="B123" s="77"/>
      <c r="C123" s="77"/>
      <c r="D123" s="182"/>
      <c r="E123" s="182"/>
      <c r="F123" s="182"/>
      <c r="G123" s="182"/>
      <c r="H123" s="182"/>
      <c r="I123" s="182"/>
      <c r="J123" s="517">
        <v>0.23799999999999999</v>
      </c>
      <c r="K123" s="517">
        <v>9.8000000000000004E-2</v>
      </c>
      <c r="L123" s="517">
        <v>0.188</v>
      </c>
      <c r="M123" s="77"/>
      <c r="N123" s="77"/>
    </row>
    <row r="124" spans="2:14" x14ac:dyDescent="0.25">
      <c r="B124" s="77"/>
      <c r="C124" s="77"/>
      <c r="D124" s="182"/>
      <c r="E124" s="182"/>
      <c r="F124" s="182"/>
      <c r="G124" s="182"/>
      <c r="H124" s="182"/>
      <c r="I124" s="182"/>
      <c r="J124" s="517">
        <v>0.23899999999999999</v>
      </c>
      <c r="K124" s="517">
        <v>9.9000000000000005E-2</v>
      </c>
      <c r="L124" s="517">
        <v>0.189</v>
      </c>
      <c r="M124" s="77"/>
      <c r="N124" s="77"/>
    </row>
    <row r="125" spans="2:14" x14ac:dyDescent="0.25">
      <c r="B125" s="77"/>
      <c r="C125" s="77"/>
      <c r="D125" s="182"/>
      <c r="E125" s="182"/>
      <c r="F125" s="182"/>
      <c r="G125" s="182"/>
      <c r="H125" s="182"/>
      <c r="I125" s="182"/>
      <c r="J125" s="517">
        <v>0.24</v>
      </c>
      <c r="K125" s="517">
        <v>0.1</v>
      </c>
      <c r="L125" s="517">
        <v>0.19</v>
      </c>
      <c r="M125" s="77"/>
      <c r="N125" s="77"/>
    </row>
    <row r="126" spans="2:14" x14ac:dyDescent="0.25">
      <c r="B126" s="77"/>
      <c r="C126" s="77"/>
      <c r="D126" s="182"/>
      <c r="E126" s="182"/>
      <c r="F126" s="182"/>
      <c r="G126" s="182"/>
      <c r="H126" s="182"/>
      <c r="I126" s="182"/>
      <c r="J126" s="517">
        <v>0.24099999999999999</v>
      </c>
      <c r="K126" s="517">
        <v>0.10100000000000001</v>
      </c>
      <c r="L126" s="517">
        <v>0.191</v>
      </c>
      <c r="M126" s="77"/>
      <c r="N126" s="77"/>
    </row>
    <row r="127" spans="2:14" x14ac:dyDescent="0.25">
      <c r="B127" s="77"/>
      <c r="C127" s="77"/>
      <c r="D127" s="182"/>
      <c r="E127" s="182"/>
      <c r="F127" s="182"/>
      <c r="G127" s="182"/>
      <c r="H127" s="182"/>
      <c r="I127" s="182"/>
      <c r="J127" s="517">
        <v>0.24199999999999999</v>
      </c>
      <c r="K127" s="517">
        <v>0.10199999999999999</v>
      </c>
      <c r="L127" s="517">
        <v>0.192</v>
      </c>
      <c r="M127" s="77"/>
      <c r="N127" s="77"/>
    </row>
    <row r="128" spans="2:14" x14ac:dyDescent="0.25">
      <c r="B128" s="77"/>
      <c r="C128" s="77"/>
      <c r="D128" s="182"/>
      <c r="E128" s="182"/>
      <c r="F128" s="182"/>
      <c r="G128" s="182"/>
      <c r="H128" s="182"/>
      <c r="I128" s="182"/>
      <c r="J128" s="517">
        <v>0.24299999999999999</v>
      </c>
      <c r="K128" s="517">
        <v>0.10299999999999999</v>
      </c>
      <c r="L128" s="517">
        <v>0.193</v>
      </c>
      <c r="M128" s="77"/>
      <c r="N128" s="77"/>
    </row>
    <row r="129" spans="2:14" x14ac:dyDescent="0.25">
      <c r="B129" s="77"/>
      <c r="C129" s="77"/>
      <c r="D129" s="182"/>
      <c r="E129" s="182"/>
      <c r="F129" s="182"/>
      <c r="G129" s="182"/>
      <c r="H129" s="182"/>
      <c r="I129" s="182"/>
      <c r="J129" s="517">
        <v>0.24399999999999999</v>
      </c>
      <c r="K129" s="517">
        <v>0.104</v>
      </c>
      <c r="L129" s="517">
        <v>0.19400000000000001</v>
      </c>
      <c r="M129" s="77"/>
      <c r="N129" s="77"/>
    </row>
    <row r="130" spans="2:14" x14ac:dyDescent="0.25">
      <c r="B130" s="77"/>
      <c r="C130" s="77"/>
      <c r="D130" s="182"/>
      <c r="E130" s="182"/>
      <c r="F130" s="182"/>
      <c r="G130" s="182"/>
      <c r="H130" s="182"/>
      <c r="I130" s="182"/>
      <c r="J130" s="517">
        <v>0.245</v>
      </c>
      <c r="K130" s="517">
        <v>0.105</v>
      </c>
      <c r="L130" s="517">
        <v>0.19500000000000001</v>
      </c>
      <c r="M130" s="77"/>
      <c r="N130" s="77"/>
    </row>
    <row r="131" spans="2:14" x14ac:dyDescent="0.25">
      <c r="B131" s="77"/>
      <c r="C131" s="77"/>
      <c r="D131" s="182"/>
      <c r="E131" s="182"/>
      <c r="F131" s="182"/>
      <c r="G131" s="182"/>
      <c r="H131" s="182"/>
      <c r="I131" s="182"/>
      <c r="J131" s="517">
        <v>0.246</v>
      </c>
      <c r="K131" s="517">
        <v>0.106</v>
      </c>
      <c r="L131" s="517">
        <v>0.19600000000000001</v>
      </c>
      <c r="M131" s="77"/>
      <c r="N131" s="77"/>
    </row>
    <row r="132" spans="2:14" x14ac:dyDescent="0.25">
      <c r="B132" s="77"/>
      <c r="C132" s="77"/>
      <c r="D132" s="182"/>
      <c r="E132" s="182"/>
      <c r="F132" s="182"/>
      <c r="G132" s="182"/>
      <c r="H132" s="182"/>
      <c r="I132" s="182"/>
      <c r="J132" s="517">
        <v>0.247</v>
      </c>
      <c r="K132" s="517">
        <v>0.107</v>
      </c>
      <c r="L132" s="517">
        <v>0.19700000000000001</v>
      </c>
      <c r="M132" s="77"/>
      <c r="N132" s="77"/>
    </row>
    <row r="133" spans="2:14" x14ac:dyDescent="0.25">
      <c r="B133" s="77"/>
      <c r="C133" s="77"/>
      <c r="D133" s="182"/>
      <c r="E133" s="182"/>
      <c r="F133" s="182"/>
      <c r="G133" s="182"/>
      <c r="H133" s="182"/>
      <c r="I133" s="182"/>
      <c r="J133" s="517">
        <v>0.248</v>
      </c>
      <c r="K133" s="517">
        <v>0.108</v>
      </c>
      <c r="L133" s="517">
        <v>0.19800000000000001</v>
      </c>
      <c r="M133" s="77"/>
      <c r="N133" s="77"/>
    </row>
    <row r="134" spans="2:14" x14ac:dyDescent="0.25">
      <c r="B134" s="77"/>
      <c r="C134" s="77"/>
      <c r="D134" s="182"/>
      <c r="E134" s="182"/>
      <c r="F134" s="182"/>
      <c r="G134" s="182"/>
      <c r="H134" s="182"/>
      <c r="I134" s="182"/>
      <c r="J134" s="517">
        <v>0.249</v>
      </c>
      <c r="K134" s="517">
        <v>0.109</v>
      </c>
      <c r="L134" s="517">
        <v>0.19900000000000001</v>
      </c>
      <c r="M134" s="77"/>
      <c r="N134" s="77"/>
    </row>
    <row r="135" spans="2:14" x14ac:dyDescent="0.25">
      <c r="B135" s="77"/>
      <c r="C135" s="77"/>
      <c r="D135" s="182"/>
      <c r="E135" s="182"/>
      <c r="F135" s="182"/>
      <c r="G135" s="182"/>
      <c r="H135" s="182"/>
      <c r="I135" s="182"/>
      <c r="J135" s="517">
        <v>0.25</v>
      </c>
      <c r="K135" s="517">
        <v>0.11</v>
      </c>
      <c r="L135" s="517">
        <v>0.2</v>
      </c>
      <c r="M135" s="77"/>
      <c r="N135" s="77"/>
    </row>
    <row r="136" spans="2:14" x14ac:dyDescent="0.25">
      <c r="B136" s="77"/>
      <c r="C136" s="77"/>
      <c r="D136" s="182"/>
      <c r="E136" s="182"/>
      <c r="F136" s="182"/>
      <c r="G136" s="182"/>
      <c r="H136" s="182"/>
      <c r="I136" s="182"/>
      <c r="J136" s="517">
        <v>0.251</v>
      </c>
      <c r="K136" s="517">
        <v>0.111</v>
      </c>
      <c r="L136" s="517">
        <v>0.20100000000000001</v>
      </c>
      <c r="M136" s="77"/>
      <c r="N136" s="77"/>
    </row>
    <row r="137" spans="2:14" x14ac:dyDescent="0.25">
      <c r="B137" s="77"/>
      <c r="C137" s="77"/>
      <c r="D137" s="182"/>
      <c r="E137" s="182"/>
      <c r="F137" s="182"/>
      <c r="G137" s="182"/>
      <c r="H137" s="182"/>
      <c r="I137" s="182"/>
      <c r="J137" s="517">
        <v>0.252</v>
      </c>
      <c r="K137" s="517">
        <v>0.112</v>
      </c>
      <c r="L137" s="517">
        <v>0.20200000000000001</v>
      </c>
      <c r="M137" s="77"/>
      <c r="N137" s="77"/>
    </row>
    <row r="138" spans="2:14" x14ac:dyDescent="0.25">
      <c r="B138" s="77"/>
      <c r="C138" s="77"/>
      <c r="D138" s="182"/>
      <c r="E138" s="182"/>
      <c r="F138" s="182"/>
      <c r="G138" s="182"/>
      <c r="H138" s="182"/>
      <c r="I138" s="182"/>
      <c r="J138" s="517">
        <v>0.253</v>
      </c>
      <c r="K138" s="517">
        <v>0.113</v>
      </c>
      <c r="L138" s="517">
        <v>0.20300000000000001</v>
      </c>
      <c r="M138" s="77"/>
      <c r="N138" s="77"/>
    </row>
    <row r="139" spans="2:14" x14ac:dyDescent="0.25">
      <c r="B139" s="77"/>
      <c r="C139" s="77"/>
      <c r="D139" s="182"/>
      <c r="E139" s="182"/>
      <c r="F139" s="182"/>
      <c r="G139" s="182"/>
      <c r="H139" s="182"/>
      <c r="I139" s="182"/>
      <c r="J139" s="517">
        <v>0.254</v>
      </c>
      <c r="K139" s="517">
        <v>0.114</v>
      </c>
      <c r="L139" s="517">
        <v>0.20399999999999999</v>
      </c>
      <c r="M139" s="77"/>
      <c r="N139" s="77"/>
    </row>
    <row r="140" spans="2:14" x14ac:dyDescent="0.25">
      <c r="B140" s="77"/>
      <c r="C140" s="77"/>
      <c r="D140" s="182"/>
      <c r="E140" s="182"/>
      <c r="F140" s="182"/>
      <c r="G140" s="182"/>
      <c r="H140" s="182"/>
      <c r="I140" s="182"/>
      <c r="J140" s="517">
        <v>0.255</v>
      </c>
      <c r="K140" s="517">
        <v>0.115</v>
      </c>
      <c r="L140" s="517">
        <v>0.20499999999999999</v>
      </c>
      <c r="M140" s="77"/>
      <c r="N140" s="77"/>
    </row>
    <row r="141" spans="2:14" x14ac:dyDescent="0.25">
      <c r="B141" s="77"/>
      <c r="C141" s="77"/>
      <c r="D141" s="182"/>
      <c r="E141" s="182"/>
      <c r="F141" s="182"/>
      <c r="G141" s="182"/>
      <c r="H141" s="182"/>
      <c r="I141" s="182"/>
      <c r="J141" s="517">
        <v>0.25600000000000001</v>
      </c>
      <c r="K141" s="517">
        <v>0.11600000000000001</v>
      </c>
      <c r="L141" s="517">
        <v>0.20599999999999999</v>
      </c>
      <c r="M141" s="77"/>
      <c r="N141" s="77"/>
    </row>
    <row r="142" spans="2:14" x14ac:dyDescent="0.25">
      <c r="B142" s="77"/>
      <c r="C142" s="77"/>
      <c r="D142" s="182"/>
      <c r="E142" s="182"/>
      <c r="F142" s="182"/>
      <c r="G142" s="182"/>
      <c r="H142" s="182"/>
      <c r="I142" s="182"/>
      <c r="J142" s="517">
        <v>0.25700000000000001</v>
      </c>
      <c r="K142" s="517">
        <v>0.11700000000000001</v>
      </c>
      <c r="L142" s="517">
        <v>0.20699999999999999</v>
      </c>
      <c r="M142" s="77"/>
      <c r="N142" s="77"/>
    </row>
    <row r="143" spans="2:14" x14ac:dyDescent="0.25">
      <c r="B143" s="77"/>
      <c r="C143" s="77"/>
      <c r="D143" s="182"/>
      <c r="E143" s="182"/>
      <c r="F143" s="182"/>
      <c r="G143" s="182"/>
      <c r="H143" s="182"/>
      <c r="I143" s="182"/>
      <c r="J143" s="517">
        <v>0.25800000000000001</v>
      </c>
      <c r="K143" s="517">
        <v>0.11799999999999999</v>
      </c>
      <c r="L143" s="517">
        <v>0.20799999999999999</v>
      </c>
      <c r="M143" s="77"/>
      <c r="N143" s="77"/>
    </row>
    <row r="144" spans="2:14" x14ac:dyDescent="0.25">
      <c r="B144" s="77"/>
      <c r="C144" s="77"/>
      <c r="D144" s="182"/>
      <c r="E144" s="182"/>
      <c r="F144" s="182"/>
      <c r="G144" s="182"/>
      <c r="H144" s="182"/>
      <c r="I144" s="182"/>
      <c r="J144" s="517">
        <v>0.25900000000000001</v>
      </c>
      <c r="K144" s="517">
        <v>0.11899999999999999</v>
      </c>
      <c r="L144" s="517">
        <v>0.20899999999999999</v>
      </c>
      <c r="M144" s="77"/>
      <c r="N144" s="77"/>
    </row>
    <row r="145" spans="2:14" x14ac:dyDescent="0.25">
      <c r="B145" s="77"/>
      <c r="C145" s="77"/>
      <c r="D145" s="182"/>
      <c r="E145" s="182"/>
      <c r="F145" s="182"/>
      <c r="G145" s="182"/>
      <c r="H145" s="182"/>
      <c r="I145" s="182"/>
      <c r="J145" s="517">
        <v>0.26</v>
      </c>
      <c r="K145" s="517">
        <v>0.12</v>
      </c>
      <c r="L145" s="517">
        <v>0.21</v>
      </c>
      <c r="M145" s="77"/>
      <c r="N145" s="77"/>
    </row>
    <row r="146" spans="2:14" x14ac:dyDescent="0.25">
      <c r="B146" s="77"/>
      <c r="C146" s="77"/>
      <c r="D146" s="182"/>
      <c r="E146" s="182"/>
      <c r="F146" s="182"/>
      <c r="G146" s="182"/>
      <c r="H146" s="182"/>
      <c r="I146" s="182"/>
      <c r="J146" s="517">
        <v>0.26100000000000001</v>
      </c>
      <c r="K146" s="517">
        <v>0.121</v>
      </c>
      <c r="L146" s="517">
        <v>0.21099999999999999</v>
      </c>
      <c r="M146" s="77"/>
      <c r="N146" s="77"/>
    </row>
    <row r="147" spans="2:14" x14ac:dyDescent="0.25">
      <c r="B147" s="77"/>
      <c r="C147" s="77"/>
      <c r="D147" s="182"/>
      <c r="E147" s="182"/>
      <c r="F147" s="182"/>
      <c r="G147" s="182"/>
      <c r="H147" s="182"/>
      <c r="I147" s="182"/>
      <c r="J147" s="517">
        <v>0.26200000000000001</v>
      </c>
      <c r="K147" s="517">
        <v>0.122</v>
      </c>
      <c r="L147" s="517">
        <v>0.21199999999999999</v>
      </c>
      <c r="M147" s="77"/>
      <c r="N147" s="77"/>
    </row>
    <row r="148" spans="2:14" x14ac:dyDescent="0.25">
      <c r="B148" s="77"/>
      <c r="C148" s="77"/>
      <c r="D148" s="182"/>
      <c r="E148" s="182"/>
      <c r="F148" s="182"/>
      <c r="G148" s="182"/>
      <c r="H148" s="182"/>
      <c r="I148" s="182"/>
      <c r="J148" s="517">
        <v>0.26300000000000001</v>
      </c>
      <c r="K148" s="517">
        <v>0.123</v>
      </c>
      <c r="L148" s="517">
        <v>0.21299999999999999</v>
      </c>
      <c r="M148" s="77"/>
      <c r="N148" s="77"/>
    </row>
    <row r="149" spans="2:14" x14ac:dyDescent="0.25">
      <c r="B149" s="77"/>
      <c r="C149" s="77"/>
      <c r="D149" s="182"/>
      <c r="E149" s="182"/>
      <c r="F149" s="182"/>
      <c r="G149" s="182"/>
      <c r="H149" s="182"/>
      <c r="I149" s="182"/>
      <c r="J149" s="517">
        <v>0.26400000000000001</v>
      </c>
      <c r="K149" s="517">
        <v>0.124</v>
      </c>
      <c r="L149" s="517">
        <v>0.214</v>
      </c>
      <c r="M149" s="77"/>
      <c r="N149" s="77"/>
    </row>
    <row r="150" spans="2:14" x14ac:dyDescent="0.25">
      <c r="B150" s="77"/>
      <c r="C150" s="77"/>
      <c r="D150" s="182"/>
      <c r="E150" s="182"/>
      <c r="F150" s="182"/>
      <c r="G150" s="182"/>
      <c r="H150" s="182"/>
      <c r="I150" s="182"/>
      <c r="J150" s="517">
        <v>0.26500000000000001</v>
      </c>
      <c r="K150" s="517">
        <v>0.125</v>
      </c>
      <c r="L150" s="517">
        <v>0.215</v>
      </c>
      <c r="M150" s="77"/>
      <c r="N150" s="77"/>
    </row>
    <row r="151" spans="2:14" x14ac:dyDescent="0.25">
      <c r="B151" s="77"/>
      <c r="C151" s="77"/>
      <c r="D151" s="182"/>
      <c r="E151" s="182"/>
      <c r="F151" s="182"/>
      <c r="G151" s="182"/>
      <c r="H151" s="182"/>
      <c r="I151" s="182"/>
      <c r="J151" s="517">
        <v>0.26600000000000001</v>
      </c>
      <c r="K151" s="517">
        <v>0.126</v>
      </c>
      <c r="L151" s="517">
        <v>0.216</v>
      </c>
      <c r="M151" s="77"/>
      <c r="N151" s="77"/>
    </row>
    <row r="152" spans="2:14" x14ac:dyDescent="0.25">
      <c r="B152" s="77"/>
      <c r="C152" s="77"/>
      <c r="D152" s="182"/>
      <c r="E152" s="182"/>
      <c r="F152" s="182"/>
      <c r="G152" s="182"/>
      <c r="H152" s="182"/>
      <c r="I152" s="182"/>
      <c r="J152" s="517">
        <v>0.26700000000000002</v>
      </c>
      <c r="K152" s="517">
        <v>0.127</v>
      </c>
      <c r="L152" s="517">
        <v>0.217</v>
      </c>
      <c r="M152" s="77"/>
      <c r="N152" s="77"/>
    </row>
    <row r="153" spans="2:14" x14ac:dyDescent="0.25">
      <c r="B153" s="77"/>
      <c r="C153" s="77"/>
      <c r="D153" s="182"/>
      <c r="E153" s="182"/>
      <c r="F153" s="182"/>
      <c r="G153" s="182"/>
      <c r="H153" s="182"/>
      <c r="I153" s="182"/>
      <c r="J153" s="517">
        <v>0.26800000000000002</v>
      </c>
      <c r="K153" s="517">
        <v>0.128</v>
      </c>
      <c r="L153" s="517">
        <v>0.218</v>
      </c>
      <c r="M153" s="77"/>
      <c r="N153" s="77"/>
    </row>
    <row r="154" spans="2:14" x14ac:dyDescent="0.25">
      <c r="B154" s="77"/>
      <c r="C154" s="77"/>
      <c r="D154" s="182"/>
      <c r="E154" s="182"/>
      <c r="F154" s="182"/>
      <c r="G154" s="182"/>
      <c r="H154" s="182"/>
      <c r="I154" s="182"/>
      <c r="J154" s="517">
        <v>0.26900000000000002</v>
      </c>
      <c r="K154" s="517">
        <v>0.129</v>
      </c>
      <c r="L154" s="517">
        <v>0.219</v>
      </c>
      <c r="M154" s="77"/>
      <c r="N154" s="77"/>
    </row>
    <row r="155" spans="2:14" x14ac:dyDescent="0.25">
      <c r="B155" s="77"/>
      <c r="C155" s="77"/>
      <c r="D155" s="182"/>
      <c r="E155" s="182"/>
      <c r="F155" s="182"/>
      <c r="G155" s="182"/>
      <c r="H155" s="182"/>
      <c r="I155" s="182"/>
      <c r="J155" s="517">
        <v>0.27</v>
      </c>
      <c r="K155" s="517">
        <v>0.13</v>
      </c>
      <c r="L155" s="517">
        <v>0.22</v>
      </c>
      <c r="M155" s="77"/>
      <c r="N155" s="77"/>
    </row>
    <row r="156" spans="2:14" x14ac:dyDescent="0.25">
      <c r="B156" s="77"/>
      <c r="C156" s="77"/>
      <c r="D156" s="182"/>
      <c r="E156" s="182"/>
      <c r="F156" s="182"/>
      <c r="G156" s="182"/>
      <c r="H156" s="182"/>
      <c r="I156" s="182"/>
      <c r="J156" s="517">
        <v>0.27100000000000002</v>
      </c>
      <c r="K156" s="517">
        <v>0.13100000000000001</v>
      </c>
      <c r="L156" s="517">
        <v>0.221</v>
      </c>
      <c r="M156" s="77"/>
      <c r="N156" s="77"/>
    </row>
    <row r="157" spans="2:14" x14ac:dyDescent="0.25">
      <c r="B157" s="77"/>
      <c r="C157" s="77"/>
      <c r="D157" s="182"/>
      <c r="E157" s="182"/>
      <c r="F157" s="182"/>
      <c r="G157" s="182"/>
      <c r="H157" s="182"/>
      <c r="I157" s="182"/>
      <c r="J157" s="517">
        <v>0.27200000000000002</v>
      </c>
      <c r="K157" s="517">
        <v>0.13200000000000001</v>
      </c>
      <c r="L157" s="517">
        <v>0.222</v>
      </c>
      <c r="M157" s="77"/>
      <c r="N157" s="77"/>
    </row>
    <row r="158" spans="2:14" x14ac:dyDescent="0.25">
      <c r="B158" s="77"/>
      <c r="C158" s="77"/>
      <c r="D158" s="182"/>
      <c r="E158" s="182"/>
      <c r="F158" s="182"/>
      <c r="G158" s="182"/>
      <c r="H158" s="182"/>
      <c r="I158" s="182"/>
      <c r="J158" s="517">
        <v>0.27300000000000002</v>
      </c>
      <c r="K158" s="517">
        <v>0.13300000000000001</v>
      </c>
      <c r="L158" s="517">
        <v>0.223</v>
      </c>
      <c r="M158" s="77"/>
      <c r="N158" s="77"/>
    </row>
    <row r="159" spans="2:14" x14ac:dyDescent="0.25">
      <c r="B159" s="77"/>
      <c r="C159" s="77"/>
      <c r="D159" s="182"/>
      <c r="E159" s="182"/>
      <c r="F159" s="182"/>
      <c r="G159" s="182"/>
      <c r="H159" s="182"/>
      <c r="I159" s="182"/>
      <c r="J159" s="517">
        <v>0.27400000000000002</v>
      </c>
      <c r="K159" s="517">
        <v>0.13400000000000001</v>
      </c>
      <c r="L159" s="517">
        <v>0.224</v>
      </c>
      <c r="M159" s="77"/>
      <c r="N159" s="77"/>
    </row>
    <row r="160" spans="2:14" x14ac:dyDescent="0.25">
      <c r="B160" s="77"/>
      <c r="C160" s="77"/>
      <c r="D160" s="182"/>
      <c r="E160" s="182"/>
      <c r="F160" s="182"/>
      <c r="G160" s="182"/>
      <c r="H160" s="182"/>
      <c r="I160" s="182"/>
      <c r="J160" s="517">
        <v>0.27500000000000002</v>
      </c>
      <c r="K160" s="517">
        <v>0.13500000000000001</v>
      </c>
      <c r="L160" s="517">
        <v>0.22500000000000001</v>
      </c>
      <c r="M160" s="77"/>
      <c r="N160" s="77"/>
    </row>
    <row r="161" spans="1:14" x14ac:dyDescent="0.25">
      <c r="B161" s="77"/>
      <c r="C161" s="77"/>
      <c r="D161" s="182"/>
      <c r="E161" s="182"/>
      <c r="F161" s="182"/>
      <c r="G161" s="182"/>
      <c r="H161" s="182"/>
      <c r="I161" s="182"/>
      <c r="J161" s="517">
        <v>0.27600000000000002</v>
      </c>
      <c r="K161" s="517">
        <v>0.13600000000000001</v>
      </c>
      <c r="L161" s="517">
        <v>0.22600000000000001</v>
      </c>
      <c r="M161" s="77"/>
      <c r="N161" s="77"/>
    </row>
    <row r="162" spans="1:14" x14ac:dyDescent="0.25">
      <c r="B162" s="77"/>
      <c r="C162" s="77"/>
      <c r="D162" s="182"/>
      <c r="E162" s="182"/>
      <c r="F162" s="182"/>
      <c r="G162" s="182"/>
      <c r="H162" s="182"/>
      <c r="I162" s="182"/>
      <c r="J162" s="517">
        <v>0.27700000000000002</v>
      </c>
      <c r="K162" s="517">
        <v>0.13700000000000001</v>
      </c>
      <c r="L162" s="517">
        <v>0.22700000000000001</v>
      </c>
      <c r="M162" s="77"/>
      <c r="N162" s="77"/>
    </row>
    <row r="163" spans="1:14" x14ac:dyDescent="0.25">
      <c r="B163" s="77"/>
      <c r="C163" s="77"/>
      <c r="D163" s="182"/>
      <c r="E163" s="182"/>
      <c r="F163" s="182"/>
      <c r="G163" s="182"/>
      <c r="H163" s="182"/>
      <c r="I163" s="182"/>
      <c r="J163" s="517">
        <v>0.27800000000000002</v>
      </c>
      <c r="K163" s="517">
        <v>0.13800000000000001</v>
      </c>
      <c r="L163" s="517">
        <v>0.22800000000000001</v>
      </c>
      <c r="M163" s="77"/>
      <c r="N163" s="77"/>
    </row>
    <row r="164" spans="1:14" x14ac:dyDescent="0.25">
      <c r="B164" s="77"/>
      <c r="C164" s="77"/>
      <c r="D164" s="182"/>
      <c r="E164" s="182"/>
      <c r="F164" s="182"/>
      <c r="G164" s="182"/>
      <c r="H164" s="182"/>
      <c r="I164" s="182"/>
      <c r="J164" s="517">
        <v>0.27900000000000003</v>
      </c>
      <c r="K164" s="517">
        <v>0.13900000000000001</v>
      </c>
      <c r="L164" s="517">
        <v>0.22900000000000001</v>
      </c>
      <c r="M164" s="77"/>
      <c r="N164" s="77"/>
    </row>
    <row r="165" spans="1:14" x14ac:dyDescent="0.25">
      <c r="A165" s="77"/>
      <c r="B165" s="77"/>
      <c r="C165" s="77"/>
      <c r="D165" s="182"/>
      <c r="E165" s="182"/>
      <c r="F165" s="182"/>
      <c r="G165" s="182"/>
      <c r="H165" s="182"/>
      <c r="I165" s="182"/>
      <c r="J165" s="517">
        <v>0.28000000000000003</v>
      </c>
      <c r="K165" s="517">
        <v>0.14000000000000001</v>
      </c>
      <c r="L165" s="517">
        <v>0.23</v>
      </c>
      <c r="M165" s="77"/>
      <c r="N165" s="77"/>
    </row>
    <row r="166" spans="1:14" x14ac:dyDescent="0.25">
      <c r="A166" s="77"/>
      <c r="B166" s="77"/>
      <c r="C166" s="77"/>
      <c r="D166" s="182"/>
      <c r="E166" s="182"/>
      <c r="F166" s="182"/>
      <c r="G166" s="182"/>
      <c r="H166" s="182"/>
      <c r="I166" s="182"/>
      <c r="J166" s="517">
        <v>0.28100000000000003</v>
      </c>
      <c r="K166" s="517">
        <v>0.14099999999999999</v>
      </c>
      <c r="L166" s="517">
        <v>0.23100000000000001</v>
      </c>
      <c r="M166" s="77"/>
      <c r="N166" s="77"/>
    </row>
    <row r="167" spans="1:14" x14ac:dyDescent="0.25">
      <c r="A167" s="77"/>
      <c r="B167" s="77"/>
      <c r="C167" s="77"/>
      <c r="D167" s="182"/>
      <c r="E167" s="182"/>
      <c r="F167" s="182"/>
      <c r="G167" s="182"/>
      <c r="H167" s="182"/>
      <c r="I167" s="182"/>
      <c r="J167" s="517">
        <v>0.28199999999999997</v>
      </c>
      <c r="K167" s="517">
        <v>0.14199999999999999</v>
      </c>
      <c r="L167" s="517">
        <v>0.23200000000000001</v>
      </c>
      <c r="M167" s="77"/>
      <c r="N167" s="77"/>
    </row>
    <row r="168" spans="1:14" x14ac:dyDescent="0.25">
      <c r="A168" s="77"/>
      <c r="B168" s="77"/>
      <c r="C168" s="77"/>
      <c r="D168" s="182"/>
      <c r="E168" s="182"/>
      <c r="F168" s="182"/>
      <c r="G168" s="182"/>
      <c r="H168" s="182"/>
      <c r="I168" s="182"/>
      <c r="J168" s="517">
        <v>0.28299999999999997</v>
      </c>
      <c r="K168" s="517">
        <v>0.14299999999999999</v>
      </c>
      <c r="L168" s="517">
        <v>0.23300000000000001</v>
      </c>
      <c r="M168" s="77"/>
      <c r="N168" s="77"/>
    </row>
    <row r="169" spans="1:14" x14ac:dyDescent="0.25">
      <c r="A169" s="77"/>
      <c r="B169" s="77"/>
      <c r="C169" s="77"/>
      <c r="D169" s="182"/>
      <c r="E169" s="182"/>
      <c r="F169" s="182"/>
      <c r="G169" s="182"/>
      <c r="H169" s="182"/>
      <c r="I169" s="182"/>
      <c r="J169" s="517">
        <v>0.28399999999999997</v>
      </c>
      <c r="K169" s="517">
        <v>0.14399999999999999</v>
      </c>
      <c r="L169" s="517">
        <v>0.23400000000000001</v>
      </c>
      <c r="M169" s="77"/>
      <c r="N169" s="77"/>
    </row>
    <row r="170" spans="1:14" x14ac:dyDescent="0.25">
      <c r="A170" s="77"/>
      <c r="B170" s="77"/>
      <c r="C170" s="77"/>
      <c r="D170" s="182"/>
      <c r="E170" s="182"/>
      <c r="F170" s="182"/>
      <c r="G170" s="182"/>
      <c r="H170" s="182"/>
      <c r="I170" s="182"/>
      <c r="J170" s="517">
        <v>0.28499999999999998</v>
      </c>
      <c r="K170" s="517">
        <v>0.14499999999999999</v>
      </c>
      <c r="L170" s="517">
        <v>0.23499999999999999</v>
      </c>
      <c r="M170" s="77"/>
      <c r="N170" s="77"/>
    </row>
    <row r="171" spans="1:14" x14ac:dyDescent="0.25">
      <c r="A171" s="77"/>
      <c r="B171" s="77"/>
      <c r="C171" s="77"/>
      <c r="D171" s="182"/>
      <c r="E171" s="182"/>
      <c r="F171" s="182"/>
      <c r="G171" s="182"/>
      <c r="H171" s="182"/>
      <c r="I171" s="182"/>
      <c r="J171" s="517">
        <v>0.28599999999999998</v>
      </c>
      <c r="K171" s="517">
        <v>0.14599999999999999</v>
      </c>
      <c r="L171" s="517">
        <v>0.23599999999999999</v>
      </c>
      <c r="M171" s="77"/>
      <c r="N171" s="77"/>
    </row>
    <row r="172" spans="1:14" x14ac:dyDescent="0.25">
      <c r="A172" s="77"/>
      <c r="B172" s="77"/>
      <c r="C172" s="77"/>
      <c r="D172" s="182"/>
      <c r="E172" s="182"/>
      <c r="F172" s="182"/>
      <c r="G172" s="182"/>
      <c r="H172" s="182"/>
      <c r="I172" s="182"/>
      <c r="J172" s="517">
        <v>0.28699999999999998</v>
      </c>
      <c r="K172" s="517">
        <v>0.14699999999999999</v>
      </c>
      <c r="L172" s="517">
        <v>0.23699999999999999</v>
      </c>
      <c r="M172" s="77"/>
      <c r="N172" s="77"/>
    </row>
    <row r="173" spans="1:14" x14ac:dyDescent="0.25">
      <c r="A173" s="77"/>
      <c r="B173" s="77"/>
      <c r="C173" s="77"/>
      <c r="D173" s="182"/>
      <c r="E173" s="182"/>
      <c r="F173" s="182"/>
      <c r="G173" s="182"/>
      <c r="H173" s="182"/>
      <c r="I173" s="182"/>
      <c r="J173" s="517">
        <v>0.28799999999999998</v>
      </c>
      <c r="K173" s="517">
        <v>0.14799999999999999</v>
      </c>
      <c r="L173" s="517">
        <v>0.23799999999999999</v>
      </c>
      <c r="M173" s="77"/>
      <c r="N173" s="77"/>
    </row>
    <row r="174" spans="1:14" x14ac:dyDescent="0.25">
      <c r="A174" s="77"/>
      <c r="B174" s="77"/>
      <c r="C174" s="77"/>
      <c r="D174" s="182"/>
      <c r="E174" s="182"/>
      <c r="F174" s="182"/>
      <c r="G174" s="182"/>
      <c r="H174" s="182"/>
      <c r="I174" s="182"/>
      <c r="J174" s="517">
        <v>0.28899999999999998</v>
      </c>
      <c r="K174" s="517">
        <v>0.14899999999999999</v>
      </c>
      <c r="L174" s="517">
        <v>0.23899999999999999</v>
      </c>
      <c r="M174" s="77"/>
      <c r="N174" s="77"/>
    </row>
    <row r="175" spans="1:14" x14ac:dyDescent="0.25">
      <c r="A175" s="77"/>
      <c r="B175" s="77"/>
      <c r="C175" s="77"/>
      <c r="D175" s="182"/>
      <c r="E175" s="182"/>
      <c r="F175" s="182"/>
      <c r="G175" s="182"/>
      <c r="H175" s="182"/>
      <c r="I175" s="182"/>
      <c r="J175" s="517">
        <v>0.28999999999999998</v>
      </c>
      <c r="K175" s="517">
        <v>0.15</v>
      </c>
      <c r="L175" s="517">
        <v>0.24</v>
      </c>
      <c r="M175" s="77"/>
      <c r="N175" s="77"/>
    </row>
    <row r="176" spans="1:14" x14ac:dyDescent="0.25">
      <c r="A176" s="77"/>
      <c r="B176" s="77"/>
      <c r="C176" s="77"/>
      <c r="D176" s="182"/>
      <c r="E176" s="182"/>
      <c r="F176" s="182"/>
      <c r="G176" s="182"/>
      <c r="H176" s="182"/>
      <c r="I176" s="182"/>
      <c r="J176" s="517">
        <v>0.29099999999999998</v>
      </c>
      <c r="K176" s="517">
        <v>0.151</v>
      </c>
      <c r="L176" s="517">
        <v>0.24099999999999999</v>
      </c>
      <c r="M176" s="77"/>
      <c r="N176" s="77"/>
    </row>
    <row r="177" spans="1:14" x14ac:dyDescent="0.25">
      <c r="A177" s="77"/>
      <c r="B177" s="77"/>
      <c r="C177" s="77"/>
      <c r="D177" s="182"/>
      <c r="E177" s="182"/>
      <c r="F177" s="182"/>
      <c r="G177" s="182"/>
      <c r="H177" s="182"/>
      <c r="I177" s="182"/>
      <c r="J177" s="517">
        <v>0.29199999999999998</v>
      </c>
      <c r="K177" s="517">
        <v>0.152</v>
      </c>
      <c r="L177" s="517">
        <v>0.24199999999999999</v>
      </c>
      <c r="M177" s="77"/>
      <c r="N177" s="77"/>
    </row>
    <row r="178" spans="1:14" x14ac:dyDescent="0.25">
      <c r="A178" s="77"/>
      <c r="B178" s="77"/>
      <c r="C178" s="77"/>
      <c r="D178" s="182"/>
      <c r="E178" s="182"/>
      <c r="F178" s="182"/>
      <c r="G178" s="182"/>
      <c r="H178" s="182"/>
      <c r="I178" s="182"/>
      <c r="J178" s="517">
        <v>0.29299999999999998</v>
      </c>
      <c r="K178" s="517">
        <v>0.153</v>
      </c>
      <c r="L178" s="517">
        <v>0.24299999999999999</v>
      </c>
      <c r="M178" s="77"/>
      <c r="N178" s="77"/>
    </row>
    <row r="179" spans="1:14" x14ac:dyDescent="0.25">
      <c r="A179" s="77"/>
      <c r="B179" s="77"/>
      <c r="C179" s="77"/>
      <c r="D179" s="182"/>
      <c r="E179" s="182"/>
      <c r="F179" s="182"/>
      <c r="G179" s="182"/>
      <c r="H179" s="182"/>
      <c r="I179" s="182"/>
      <c r="J179" s="517">
        <v>0.29399999999999998</v>
      </c>
      <c r="K179" s="517">
        <v>0.154</v>
      </c>
      <c r="L179" s="517">
        <v>0.24399999999999999</v>
      </c>
      <c r="M179" s="77"/>
      <c r="N179" s="77"/>
    </row>
    <row r="180" spans="1:14" x14ac:dyDescent="0.25">
      <c r="A180" s="77"/>
      <c r="B180" s="77"/>
      <c r="C180" s="77"/>
      <c r="D180" s="182"/>
      <c r="E180" s="182"/>
      <c r="F180" s="182"/>
      <c r="G180" s="182"/>
      <c r="H180" s="182"/>
      <c r="I180" s="182"/>
      <c r="J180" s="517">
        <v>0.29499999999999998</v>
      </c>
      <c r="K180" s="517">
        <v>0.155</v>
      </c>
      <c r="L180" s="517">
        <v>0.245</v>
      </c>
      <c r="M180" s="77"/>
      <c r="N180" s="77"/>
    </row>
    <row r="181" spans="1:14" x14ac:dyDescent="0.25">
      <c r="A181" s="77"/>
      <c r="B181" s="77"/>
      <c r="C181" s="77"/>
      <c r="D181" s="182"/>
      <c r="E181" s="182"/>
      <c r="F181" s="182"/>
      <c r="G181" s="182"/>
      <c r="H181" s="182"/>
      <c r="I181" s="182"/>
      <c r="J181" s="517">
        <v>0.29599999999999999</v>
      </c>
      <c r="K181" s="517">
        <v>0.156</v>
      </c>
      <c r="L181" s="517">
        <v>0.246</v>
      </c>
      <c r="M181" s="77"/>
      <c r="N181" s="77"/>
    </row>
    <row r="182" spans="1:14" x14ac:dyDescent="0.25">
      <c r="A182" s="77"/>
      <c r="B182" s="77"/>
      <c r="C182" s="77"/>
      <c r="D182" s="182"/>
      <c r="E182" s="182"/>
      <c r="F182" s="182"/>
      <c r="G182" s="182"/>
      <c r="H182" s="182"/>
      <c r="I182" s="182"/>
      <c r="J182" s="517">
        <v>0.29699999999999999</v>
      </c>
      <c r="K182" s="517">
        <v>0.157</v>
      </c>
      <c r="L182" s="517">
        <v>0.247</v>
      </c>
      <c r="M182" s="77"/>
      <c r="N182" s="77"/>
    </row>
    <row r="183" spans="1:14" x14ac:dyDescent="0.25">
      <c r="A183" s="77"/>
      <c r="B183" s="77"/>
      <c r="C183" s="77"/>
      <c r="D183" s="182"/>
      <c r="E183" s="182"/>
      <c r="F183" s="182"/>
      <c r="G183" s="182"/>
      <c r="H183" s="182"/>
      <c r="I183" s="182"/>
      <c r="J183" s="517">
        <v>0.29799999999999999</v>
      </c>
      <c r="K183" s="517">
        <v>0.158</v>
      </c>
      <c r="L183" s="517">
        <v>0.248</v>
      </c>
      <c r="M183" s="77"/>
      <c r="N183" s="77"/>
    </row>
    <row r="184" spans="1:14" x14ac:dyDescent="0.25">
      <c r="A184" s="77"/>
      <c r="B184" s="77"/>
      <c r="C184" s="77"/>
      <c r="D184" s="182"/>
      <c r="E184" s="182"/>
      <c r="F184" s="182"/>
      <c r="G184" s="182"/>
      <c r="H184" s="182"/>
      <c r="I184" s="182"/>
      <c r="J184" s="517">
        <v>0.29899999999999999</v>
      </c>
      <c r="K184" s="517">
        <v>0.159</v>
      </c>
      <c r="L184" s="517">
        <v>0.249</v>
      </c>
      <c r="M184" s="77"/>
      <c r="N184" s="77"/>
    </row>
    <row r="185" spans="1:14" x14ac:dyDescent="0.25">
      <c r="A185" s="77"/>
      <c r="B185" s="77"/>
      <c r="C185" s="77"/>
      <c r="D185" s="182"/>
      <c r="E185" s="182"/>
      <c r="F185" s="182"/>
      <c r="G185" s="182"/>
      <c r="H185" s="182"/>
      <c r="I185" s="182"/>
      <c r="J185" s="517">
        <v>0.3</v>
      </c>
      <c r="K185" s="517">
        <v>0.16</v>
      </c>
      <c r="L185" s="517">
        <v>0.25</v>
      </c>
      <c r="M185" s="77"/>
      <c r="N185" s="77"/>
    </row>
    <row r="186" spans="1:14" x14ac:dyDescent="0.25">
      <c r="A186" s="77"/>
      <c r="B186" s="77"/>
      <c r="C186" s="77"/>
      <c r="D186" s="182"/>
      <c r="E186" s="182"/>
      <c r="F186" s="182"/>
      <c r="G186" s="182"/>
      <c r="H186" s="182"/>
      <c r="I186" s="182"/>
      <c r="J186" s="517">
        <v>0.30099999999999999</v>
      </c>
      <c r="K186" s="517">
        <v>0.161</v>
      </c>
      <c r="L186" s="517">
        <v>0.251</v>
      </c>
      <c r="M186" s="77"/>
      <c r="N186" s="77"/>
    </row>
    <row r="187" spans="1:14" x14ac:dyDescent="0.25">
      <c r="A187" s="77"/>
      <c r="B187" s="77"/>
      <c r="C187" s="77"/>
      <c r="D187" s="182"/>
      <c r="E187" s="182"/>
      <c r="F187" s="182"/>
      <c r="G187" s="182"/>
      <c r="H187" s="182"/>
      <c r="I187" s="182"/>
      <c r="J187" s="517">
        <v>0.30199999999999999</v>
      </c>
      <c r="K187" s="517">
        <v>0.16200000000000001</v>
      </c>
      <c r="L187" s="517">
        <v>0.252</v>
      </c>
      <c r="M187" s="77"/>
      <c r="N187" s="77"/>
    </row>
    <row r="188" spans="1:14" x14ac:dyDescent="0.25">
      <c r="A188" s="77"/>
      <c r="B188" s="77"/>
      <c r="C188" s="77"/>
      <c r="D188" s="182"/>
      <c r="E188" s="182"/>
      <c r="F188" s="182"/>
      <c r="G188" s="182"/>
      <c r="H188" s="182"/>
      <c r="I188" s="182"/>
      <c r="J188" s="517">
        <v>0.30299999999999999</v>
      </c>
      <c r="K188" s="517">
        <v>0.16300000000000001</v>
      </c>
      <c r="L188" s="517">
        <v>0.253</v>
      </c>
      <c r="M188" s="77"/>
      <c r="N188" s="77"/>
    </row>
    <row r="189" spans="1:14" x14ac:dyDescent="0.25">
      <c r="A189" s="77"/>
      <c r="B189" s="77"/>
      <c r="C189" s="77"/>
      <c r="D189" s="182"/>
      <c r="E189" s="182"/>
      <c r="F189" s="182"/>
      <c r="G189" s="182"/>
      <c r="H189" s="182"/>
      <c r="I189" s="182"/>
      <c r="J189" s="517">
        <v>0.30399999999999999</v>
      </c>
      <c r="K189" s="517">
        <v>0.16400000000000001</v>
      </c>
      <c r="L189" s="517">
        <v>0.254</v>
      </c>
      <c r="M189" s="77"/>
      <c r="N189" s="77"/>
    </row>
    <row r="190" spans="1:14" x14ac:dyDescent="0.25">
      <c r="A190" s="77"/>
      <c r="B190" s="77"/>
      <c r="C190" s="77"/>
      <c r="D190" s="182"/>
      <c r="E190" s="182"/>
      <c r="F190" s="182"/>
      <c r="G190" s="182"/>
      <c r="H190" s="182"/>
      <c r="I190" s="182"/>
      <c r="J190" s="517">
        <v>0.30499999999999999</v>
      </c>
      <c r="K190" s="517">
        <v>0.16500000000000001</v>
      </c>
      <c r="L190" s="517">
        <v>0.255</v>
      </c>
      <c r="M190" s="77"/>
      <c r="N190" s="77"/>
    </row>
    <row r="191" spans="1:14" x14ac:dyDescent="0.25">
      <c r="A191" s="77"/>
      <c r="B191" s="77"/>
      <c r="C191" s="77"/>
      <c r="D191" s="182"/>
      <c r="E191" s="182"/>
      <c r="F191" s="182"/>
      <c r="G191" s="182"/>
      <c r="H191" s="182"/>
      <c r="I191" s="182"/>
      <c r="J191" s="517">
        <v>0.30599999999999999</v>
      </c>
      <c r="K191" s="517">
        <v>0.16600000000000001</v>
      </c>
      <c r="L191" s="517">
        <v>0.25600000000000001</v>
      </c>
      <c r="M191" s="77"/>
      <c r="N191" s="77"/>
    </row>
    <row r="192" spans="1:14" x14ac:dyDescent="0.25">
      <c r="A192" s="77"/>
      <c r="B192" s="77"/>
      <c r="C192" s="77"/>
      <c r="D192" s="182"/>
      <c r="E192" s="182"/>
      <c r="F192" s="182"/>
      <c r="G192" s="182"/>
      <c r="H192" s="182"/>
      <c r="I192" s="182"/>
      <c r="J192" s="517">
        <v>0.307</v>
      </c>
      <c r="K192" s="517">
        <v>0.16700000000000001</v>
      </c>
      <c r="L192" s="517">
        <v>0.25700000000000001</v>
      </c>
      <c r="M192" s="77"/>
      <c r="N192" s="77"/>
    </row>
    <row r="193" spans="1:14" x14ac:dyDescent="0.25">
      <c r="A193" s="77"/>
      <c r="B193" s="77"/>
      <c r="C193" s="77"/>
      <c r="D193" s="182"/>
      <c r="E193" s="182"/>
      <c r="F193" s="182"/>
      <c r="G193" s="182"/>
      <c r="H193" s="182"/>
      <c r="I193" s="182"/>
      <c r="J193" s="517">
        <v>0.308</v>
      </c>
      <c r="K193" s="517">
        <v>0.16800000000000001</v>
      </c>
      <c r="L193" s="517">
        <v>0.25800000000000001</v>
      </c>
      <c r="M193" s="77"/>
      <c r="N193" s="77"/>
    </row>
    <row r="194" spans="1:14" x14ac:dyDescent="0.25">
      <c r="A194" s="77"/>
      <c r="B194" s="77"/>
      <c r="C194" s="77"/>
      <c r="D194" s="182"/>
      <c r="E194" s="182"/>
      <c r="F194" s="182"/>
      <c r="G194" s="182"/>
      <c r="H194" s="182"/>
      <c r="I194" s="182"/>
      <c r="J194" s="517">
        <v>0.309</v>
      </c>
      <c r="K194" s="517">
        <v>0.16900000000000001</v>
      </c>
      <c r="L194" s="517">
        <v>0.25900000000000001</v>
      </c>
      <c r="M194" s="77"/>
      <c r="N194" s="77"/>
    </row>
    <row r="195" spans="1:14" x14ac:dyDescent="0.25">
      <c r="A195" s="77"/>
      <c r="B195" s="77"/>
      <c r="C195" s="77"/>
      <c r="D195" s="182"/>
      <c r="E195" s="182"/>
      <c r="F195" s="182"/>
      <c r="G195" s="182"/>
      <c r="H195" s="182"/>
      <c r="I195" s="182"/>
      <c r="J195" s="517">
        <v>0.31</v>
      </c>
      <c r="K195" s="517">
        <v>0.17</v>
      </c>
      <c r="L195" s="517">
        <v>0.26</v>
      </c>
      <c r="M195" s="77"/>
      <c r="N195" s="77"/>
    </row>
    <row r="196" spans="1:14" x14ac:dyDescent="0.25">
      <c r="A196" s="77"/>
      <c r="B196" s="77"/>
      <c r="C196" s="77"/>
      <c r="D196" s="182"/>
      <c r="E196" s="182"/>
      <c r="F196" s="182"/>
      <c r="G196" s="182"/>
      <c r="H196" s="182"/>
      <c r="I196" s="182"/>
      <c r="J196" s="517">
        <v>0.311</v>
      </c>
      <c r="K196" s="517">
        <v>0.17100000000000001</v>
      </c>
      <c r="L196" s="517">
        <v>0.26100000000000001</v>
      </c>
      <c r="M196" s="77"/>
      <c r="N196" s="77"/>
    </row>
    <row r="197" spans="1:14" x14ac:dyDescent="0.25">
      <c r="A197" s="77"/>
      <c r="B197" s="77"/>
      <c r="C197" s="77"/>
      <c r="D197" s="182"/>
      <c r="E197" s="182"/>
      <c r="F197" s="182"/>
      <c r="G197" s="182"/>
      <c r="H197" s="182"/>
      <c r="I197" s="182"/>
      <c r="J197" s="517">
        <v>0.312</v>
      </c>
      <c r="K197" s="517">
        <v>0.17199999999999999</v>
      </c>
      <c r="L197" s="517">
        <v>0.26200000000000001</v>
      </c>
      <c r="M197" s="77"/>
      <c r="N197" s="77"/>
    </row>
    <row r="198" spans="1:14" x14ac:dyDescent="0.25">
      <c r="A198" s="77"/>
      <c r="B198" s="77"/>
      <c r="C198" s="77"/>
      <c r="D198" s="182"/>
      <c r="E198" s="182"/>
      <c r="F198" s="182"/>
      <c r="G198" s="182"/>
      <c r="H198" s="182"/>
      <c r="I198" s="182"/>
      <c r="J198" s="517">
        <v>0.313</v>
      </c>
      <c r="K198" s="517">
        <v>0.17299999999999999</v>
      </c>
      <c r="L198" s="517">
        <v>0.26300000000000001</v>
      </c>
      <c r="M198" s="77"/>
      <c r="N198" s="77"/>
    </row>
    <row r="199" spans="1:14" x14ac:dyDescent="0.25">
      <c r="A199" s="77"/>
      <c r="B199" s="77"/>
      <c r="C199" s="77"/>
      <c r="D199" s="182"/>
      <c r="E199" s="182"/>
      <c r="F199" s="182"/>
      <c r="G199" s="182"/>
      <c r="H199" s="182"/>
      <c r="I199" s="182"/>
      <c r="J199" s="517">
        <v>0.314</v>
      </c>
      <c r="K199" s="517">
        <v>0.17399999999999999</v>
      </c>
      <c r="L199" s="517">
        <v>0.26400000000000001</v>
      </c>
      <c r="M199" s="77"/>
      <c r="N199" s="77"/>
    </row>
    <row r="200" spans="1:14" x14ac:dyDescent="0.25">
      <c r="A200" s="77"/>
      <c r="B200" s="77"/>
      <c r="C200" s="77"/>
      <c r="D200" s="182"/>
      <c r="E200" s="182"/>
      <c r="F200" s="182"/>
      <c r="G200" s="182"/>
      <c r="H200" s="182"/>
      <c r="I200" s="182"/>
      <c r="J200" s="517">
        <v>0.315</v>
      </c>
      <c r="K200" s="517">
        <v>0.17499999999999999</v>
      </c>
      <c r="L200" s="517">
        <v>0.26500000000000001</v>
      </c>
      <c r="M200" s="77"/>
      <c r="N200" s="77"/>
    </row>
    <row r="201" spans="1:14" x14ac:dyDescent="0.25">
      <c r="A201" s="77"/>
      <c r="B201" s="77"/>
      <c r="C201" s="77"/>
      <c r="D201" s="182"/>
      <c r="E201" s="182"/>
      <c r="F201" s="182"/>
      <c r="G201" s="182"/>
      <c r="H201" s="182"/>
      <c r="I201" s="182"/>
      <c r="J201" s="517">
        <v>0.316</v>
      </c>
      <c r="K201" s="517">
        <v>0.17599999999999999</v>
      </c>
      <c r="L201" s="517">
        <v>0.26600000000000001</v>
      </c>
      <c r="M201" s="77"/>
      <c r="N201" s="77"/>
    </row>
    <row r="202" spans="1:14" x14ac:dyDescent="0.25">
      <c r="A202" s="77"/>
      <c r="B202" s="77"/>
      <c r="C202" s="77"/>
      <c r="D202" s="182"/>
      <c r="E202" s="182"/>
      <c r="F202" s="182"/>
      <c r="G202" s="182"/>
      <c r="H202" s="182"/>
      <c r="I202" s="182"/>
      <c r="J202" s="517">
        <v>0.317</v>
      </c>
      <c r="K202" s="517">
        <v>0.17699999999999999</v>
      </c>
      <c r="L202" s="517">
        <v>0.26700000000000002</v>
      </c>
      <c r="M202" s="77"/>
      <c r="N202" s="77"/>
    </row>
    <row r="203" spans="1:14" x14ac:dyDescent="0.25">
      <c r="A203" s="77"/>
      <c r="B203" s="77"/>
      <c r="C203" s="77"/>
      <c r="D203" s="182"/>
      <c r="E203" s="182"/>
      <c r="F203" s="182"/>
      <c r="G203" s="182"/>
      <c r="H203" s="182"/>
      <c r="I203" s="182"/>
      <c r="J203" s="517">
        <v>0.318</v>
      </c>
      <c r="K203" s="517">
        <v>0.17799999999999999</v>
      </c>
      <c r="L203" s="517">
        <v>0.26800000000000002</v>
      </c>
      <c r="M203" s="77"/>
      <c r="N203" s="77"/>
    </row>
    <row r="204" spans="1:14" x14ac:dyDescent="0.25">
      <c r="A204" s="77"/>
      <c r="B204" s="77"/>
      <c r="C204" s="77"/>
      <c r="D204" s="182"/>
      <c r="E204" s="182"/>
      <c r="F204" s="182"/>
      <c r="G204" s="182"/>
      <c r="H204" s="182"/>
      <c r="I204" s="182"/>
      <c r="J204" s="517">
        <v>0.31900000000000001</v>
      </c>
      <c r="K204" s="517">
        <v>0.17899999999999999</v>
      </c>
      <c r="L204" s="517">
        <v>0.26900000000000002</v>
      </c>
      <c r="M204" s="77"/>
    </row>
    <row r="205" spans="1:14" x14ac:dyDescent="0.25">
      <c r="A205" s="77"/>
      <c r="B205" s="77"/>
      <c r="C205" s="77"/>
      <c r="D205" s="182"/>
      <c r="E205" s="182"/>
      <c r="F205" s="182"/>
      <c r="G205" s="182"/>
      <c r="H205" s="182"/>
      <c r="I205" s="182"/>
      <c r="J205" s="517">
        <v>0.32</v>
      </c>
      <c r="K205" s="517">
        <v>0.18</v>
      </c>
      <c r="L205" s="517">
        <v>0.27</v>
      </c>
      <c r="M205" s="77"/>
    </row>
    <row r="206" spans="1:14" x14ac:dyDescent="0.25">
      <c r="A206" s="77"/>
      <c r="B206" s="77"/>
      <c r="C206" s="77"/>
      <c r="D206" s="182"/>
      <c r="E206" s="182"/>
      <c r="F206" s="182"/>
      <c r="G206" s="182"/>
      <c r="H206" s="182"/>
      <c r="I206" s="182"/>
      <c r="J206" s="517">
        <v>0.32100000000000001</v>
      </c>
      <c r="K206" s="517">
        <v>0.18099999999999999</v>
      </c>
      <c r="L206" s="517">
        <v>0.27100000000000002</v>
      </c>
      <c r="M206" s="77"/>
    </row>
    <row r="207" spans="1:14" x14ac:dyDescent="0.25">
      <c r="A207" s="77"/>
      <c r="B207" s="77"/>
      <c r="C207" s="77"/>
      <c r="D207" s="182"/>
      <c r="E207" s="182"/>
      <c r="F207" s="182"/>
      <c r="G207" s="182"/>
      <c r="H207" s="182"/>
      <c r="I207" s="182"/>
      <c r="J207" s="517">
        <v>0.32200000000000001</v>
      </c>
      <c r="K207" s="517">
        <v>0.182</v>
      </c>
      <c r="L207" s="517">
        <v>0.27200000000000002</v>
      </c>
      <c r="M207" s="77"/>
    </row>
    <row r="208" spans="1:14" x14ac:dyDescent="0.25">
      <c r="A208" s="77"/>
      <c r="B208" s="77"/>
      <c r="C208" s="77"/>
      <c r="D208" s="182"/>
      <c r="E208" s="182"/>
      <c r="F208" s="182"/>
      <c r="G208" s="182"/>
      <c r="H208" s="182"/>
      <c r="I208" s="182"/>
      <c r="J208" s="517">
        <v>0.32300000000000001</v>
      </c>
      <c r="K208" s="517">
        <v>0.183</v>
      </c>
      <c r="L208" s="517">
        <v>0.27300000000000002</v>
      </c>
      <c r="M208" s="77"/>
    </row>
    <row r="209" spans="1:13" x14ac:dyDescent="0.25">
      <c r="A209" s="77"/>
      <c r="B209" s="77"/>
      <c r="C209" s="77"/>
      <c r="D209" s="182"/>
      <c r="E209" s="182"/>
      <c r="F209" s="182"/>
      <c r="G209" s="182"/>
      <c r="H209" s="182"/>
      <c r="I209" s="182"/>
      <c r="J209" s="517">
        <v>0.32400000000000001</v>
      </c>
      <c r="K209" s="517">
        <v>0.184</v>
      </c>
      <c r="L209" s="517">
        <v>0.27400000000000002</v>
      </c>
      <c r="M209" s="77"/>
    </row>
    <row r="210" spans="1:13" x14ac:dyDescent="0.25">
      <c r="A210" s="77"/>
      <c r="B210" s="77"/>
      <c r="C210" s="77"/>
      <c r="D210" s="182"/>
      <c r="E210" s="182"/>
      <c r="F210" s="182"/>
      <c r="G210" s="182"/>
      <c r="H210" s="182"/>
      <c r="I210" s="182"/>
      <c r="J210" s="517">
        <v>0.32500000000000001</v>
      </c>
      <c r="K210" s="517">
        <v>0.185</v>
      </c>
      <c r="L210" s="517">
        <v>0.27500000000000002</v>
      </c>
      <c r="M210" s="77"/>
    </row>
    <row r="211" spans="1:13" x14ac:dyDescent="0.25">
      <c r="A211" s="77"/>
      <c r="B211" s="77"/>
      <c r="C211" s="77"/>
      <c r="D211" s="182"/>
      <c r="E211" s="182"/>
      <c r="F211" s="182"/>
      <c r="G211" s="182"/>
      <c r="H211" s="182"/>
      <c r="I211" s="182"/>
      <c r="J211" s="517">
        <v>0.32600000000000001</v>
      </c>
      <c r="K211" s="517">
        <v>0.186</v>
      </c>
      <c r="L211" s="517">
        <v>0.27600000000000002</v>
      </c>
      <c r="M211" s="77"/>
    </row>
    <row r="212" spans="1:13" x14ac:dyDescent="0.25">
      <c r="A212" s="77"/>
      <c r="B212" s="77"/>
      <c r="C212" s="77"/>
      <c r="D212" s="182"/>
      <c r="E212" s="182"/>
      <c r="F212" s="182"/>
      <c r="G212" s="182"/>
      <c r="H212" s="182"/>
      <c r="I212" s="182"/>
      <c r="J212" s="517">
        <v>0.32700000000000001</v>
      </c>
      <c r="K212" s="517">
        <v>0.187</v>
      </c>
      <c r="L212" s="517">
        <v>0.27700000000000002</v>
      </c>
      <c r="M212" s="77"/>
    </row>
    <row r="213" spans="1:13" x14ac:dyDescent="0.25">
      <c r="A213" s="77"/>
      <c r="B213" s="77"/>
      <c r="C213" s="77"/>
      <c r="D213" s="182"/>
      <c r="E213" s="182"/>
      <c r="F213" s="182"/>
      <c r="G213" s="182"/>
      <c r="H213" s="182"/>
      <c r="I213" s="182"/>
      <c r="J213" s="517">
        <v>0.32800000000000001</v>
      </c>
      <c r="K213" s="517">
        <v>0.188</v>
      </c>
      <c r="L213" s="517">
        <v>0.27800000000000002</v>
      </c>
      <c r="M213" s="77"/>
    </row>
    <row r="214" spans="1:13" x14ac:dyDescent="0.25">
      <c r="A214" s="77"/>
      <c r="B214" s="77"/>
      <c r="C214" s="77"/>
      <c r="D214" s="182"/>
      <c r="E214" s="182"/>
      <c r="F214" s="182"/>
      <c r="G214" s="182"/>
      <c r="H214" s="182"/>
      <c r="I214" s="182"/>
      <c r="J214" s="517">
        <v>0.32900000000000001</v>
      </c>
      <c r="K214" s="517">
        <v>0.189</v>
      </c>
      <c r="L214" s="517">
        <v>0.27900000000000003</v>
      </c>
      <c r="M214" s="77"/>
    </row>
    <row r="215" spans="1:13" x14ac:dyDescent="0.25">
      <c r="A215" s="77"/>
      <c r="B215" s="77"/>
      <c r="C215" s="77"/>
      <c r="D215" s="182"/>
      <c r="E215" s="182"/>
      <c r="F215" s="182"/>
      <c r="G215" s="182"/>
      <c r="H215" s="182"/>
      <c r="I215" s="182"/>
      <c r="J215" s="517">
        <v>0.33</v>
      </c>
      <c r="K215" s="517">
        <v>0.19</v>
      </c>
      <c r="L215" s="517">
        <v>0.28000000000000003</v>
      </c>
      <c r="M215" s="77"/>
    </row>
    <row r="216" spans="1:13" x14ac:dyDescent="0.25">
      <c r="A216" s="77"/>
      <c r="B216" s="77"/>
      <c r="C216" s="77"/>
      <c r="D216" s="182"/>
      <c r="E216" s="182"/>
      <c r="F216" s="182"/>
      <c r="G216" s="182"/>
      <c r="H216" s="182"/>
      <c r="I216" s="182"/>
      <c r="J216" s="517">
        <v>0.33100000000000002</v>
      </c>
      <c r="K216" s="517">
        <v>0.191</v>
      </c>
      <c r="L216" s="517">
        <v>0.28100000000000003</v>
      </c>
      <c r="M216" s="77"/>
    </row>
    <row r="217" spans="1:13" x14ac:dyDescent="0.25">
      <c r="A217" s="77"/>
      <c r="B217" s="77"/>
      <c r="C217" s="77"/>
      <c r="D217" s="182"/>
      <c r="E217" s="182"/>
      <c r="F217" s="182"/>
      <c r="G217" s="182"/>
      <c r="H217" s="182"/>
      <c r="I217" s="182"/>
      <c r="J217" s="517">
        <v>0.33200000000000002</v>
      </c>
      <c r="K217" s="517">
        <v>0.192</v>
      </c>
      <c r="L217" s="517">
        <v>0.28199999999999997</v>
      </c>
      <c r="M217" s="77"/>
    </row>
    <row r="218" spans="1:13" x14ac:dyDescent="0.25">
      <c r="A218" s="77"/>
      <c r="B218" s="77"/>
      <c r="C218" s="77"/>
      <c r="D218" s="182"/>
      <c r="E218" s="182"/>
      <c r="F218" s="182"/>
      <c r="G218" s="182"/>
      <c r="H218" s="182"/>
      <c r="I218" s="182"/>
      <c r="J218" s="517">
        <v>0.33300000000000002</v>
      </c>
      <c r="K218" s="517">
        <v>0.193</v>
      </c>
      <c r="L218" s="517">
        <v>0.28299999999999997</v>
      </c>
      <c r="M218" s="77"/>
    </row>
    <row r="219" spans="1:13" x14ac:dyDescent="0.25">
      <c r="A219" s="77"/>
      <c r="B219" s="77"/>
      <c r="C219" s="77"/>
      <c r="D219" s="182"/>
      <c r="E219" s="182"/>
      <c r="F219" s="182"/>
      <c r="G219" s="182"/>
      <c r="H219" s="182"/>
      <c r="I219" s="182"/>
      <c r="J219" s="517">
        <v>0.33400000000000002</v>
      </c>
      <c r="K219" s="517">
        <v>0.19400000000000001</v>
      </c>
      <c r="L219" s="517">
        <v>0.28399999999999997</v>
      </c>
      <c r="M219" s="77"/>
    </row>
    <row r="220" spans="1:13" x14ac:dyDescent="0.25">
      <c r="A220" s="77"/>
      <c r="B220" s="77"/>
      <c r="C220" s="77"/>
      <c r="D220" s="182"/>
      <c r="E220" s="182"/>
      <c r="F220" s="182"/>
      <c r="G220" s="182"/>
      <c r="H220" s="182"/>
      <c r="I220" s="182"/>
      <c r="J220" s="517">
        <v>0.33500000000000002</v>
      </c>
      <c r="K220" s="517">
        <v>0.19500000000000001</v>
      </c>
      <c r="L220" s="517">
        <v>0.28499999999999998</v>
      </c>
      <c r="M220" s="77"/>
    </row>
    <row r="221" spans="1:13" x14ac:dyDescent="0.25">
      <c r="D221" s="182"/>
      <c r="E221" s="182"/>
      <c r="F221" s="182"/>
      <c r="G221" s="182"/>
      <c r="H221" s="182"/>
      <c r="I221" s="182"/>
      <c r="J221" s="517">
        <v>0.33600000000000002</v>
      </c>
      <c r="K221" s="517">
        <v>0.19600000000000001</v>
      </c>
      <c r="L221" s="517">
        <v>0.28599999999999998</v>
      </c>
      <c r="M221" s="77"/>
    </row>
    <row r="222" spans="1:13" x14ac:dyDescent="0.25">
      <c r="D222" s="182"/>
      <c r="E222" s="182"/>
      <c r="F222" s="182"/>
      <c r="G222" s="182"/>
      <c r="H222" s="182"/>
      <c r="I222" s="182"/>
      <c r="J222" s="517">
        <v>0.33700000000000002</v>
      </c>
      <c r="K222" s="517">
        <v>0.19700000000000001</v>
      </c>
      <c r="L222" s="517">
        <v>0.28699999999999998</v>
      </c>
      <c r="M222" s="77"/>
    </row>
    <row r="223" spans="1:13" x14ac:dyDescent="0.25">
      <c r="D223" s="182"/>
      <c r="E223" s="182"/>
      <c r="F223" s="182"/>
      <c r="G223" s="182"/>
      <c r="H223" s="182"/>
      <c r="I223" s="182"/>
      <c r="J223" s="517">
        <v>0.33800000000000002</v>
      </c>
      <c r="K223" s="517">
        <v>0.19800000000000001</v>
      </c>
      <c r="L223" s="517">
        <v>0.28799999999999998</v>
      </c>
      <c r="M223" s="77"/>
    </row>
    <row r="224" spans="1:13" x14ac:dyDescent="0.25">
      <c r="D224" s="182"/>
      <c r="E224" s="182"/>
      <c r="F224" s="182"/>
      <c r="G224" s="182"/>
      <c r="H224" s="182"/>
      <c r="I224" s="182"/>
      <c r="J224" s="517">
        <v>0.33900000000000002</v>
      </c>
      <c r="K224" s="517">
        <v>0.19900000000000001</v>
      </c>
      <c r="L224" s="517">
        <v>0.28899999999999998</v>
      </c>
      <c r="M224" s="77"/>
    </row>
    <row r="225" spans="4:13" x14ac:dyDescent="0.25">
      <c r="D225" s="182"/>
      <c r="E225" s="182"/>
      <c r="F225" s="182"/>
      <c r="G225" s="182"/>
      <c r="H225" s="182"/>
      <c r="I225" s="182"/>
      <c r="J225" s="517">
        <v>0.34</v>
      </c>
      <c r="K225" s="517">
        <v>0.2</v>
      </c>
      <c r="L225" s="517">
        <v>0.28999999999999998</v>
      </c>
      <c r="M225" s="77"/>
    </row>
    <row r="226" spans="4:13" x14ac:dyDescent="0.25">
      <c r="D226" s="182"/>
      <c r="E226" s="182"/>
      <c r="F226" s="182"/>
      <c r="G226" s="182"/>
      <c r="H226" s="182"/>
      <c r="I226" s="182"/>
      <c r="J226" s="517">
        <v>0.34100000000000003</v>
      </c>
      <c r="K226" s="517">
        <v>0.20100000000000001</v>
      </c>
      <c r="L226" s="517">
        <v>0.29099999999999998</v>
      </c>
      <c r="M226" s="77"/>
    </row>
    <row r="227" spans="4:13" x14ac:dyDescent="0.25">
      <c r="D227" s="182"/>
      <c r="E227" s="182"/>
      <c r="F227" s="182"/>
      <c r="G227" s="182"/>
      <c r="H227" s="182"/>
      <c r="I227" s="182"/>
      <c r="J227" s="517">
        <v>0.34200000000000003</v>
      </c>
      <c r="K227" s="517">
        <v>0.20200000000000001</v>
      </c>
      <c r="L227" s="517">
        <v>0.29199999999999998</v>
      </c>
      <c r="M227" s="77"/>
    </row>
    <row r="228" spans="4:13" x14ac:dyDescent="0.25">
      <c r="D228" s="182"/>
      <c r="E228" s="182"/>
      <c r="F228" s="182"/>
      <c r="G228" s="182"/>
      <c r="H228" s="182"/>
      <c r="I228" s="182"/>
      <c r="J228" s="517">
        <v>0.34300000000000003</v>
      </c>
      <c r="K228" s="517">
        <v>0.20300000000000001</v>
      </c>
      <c r="L228" s="517">
        <v>0.29299999999999998</v>
      </c>
      <c r="M228" s="77"/>
    </row>
    <row r="229" spans="4:13" x14ac:dyDescent="0.25">
      <c r="D229" s="182"/>
      <c r="E229" s="182"/>
      <c r="F229" s="182"/>
      <c r="G229" s="182"/>
      <c r="H229" s="182"/>
      <c r="I229" s="182"/>
      <c r="J229" s="517">
        <v>0.34399999999999997</v>
      </c>
      <c r="K229" s="517">
        <v>0.20399999999999999</v>
      </c>
      <c r="L229" s="517">
        <v>0.29399999999999998</v>
      </c>
      <c r="M229" s="77"/>
    </row>
    <row r="230" spans="4:13" x14ac:dyDescent="0.25">
      <c r="D230" s="182"/>
      <c r="E230" s="182"/>
      <c r="F230" s="182"/>
      <c r="G230" s="182"/>
      <c r="H230" s="182"/>
      <c r="I230" s="182"/>
      <c r="J230" s="517">
        <v>0.34499999999999997</v>
      </c>
      <c r="K230" s="517">
        <v>0.20499999999999999</v>
      </c>
      <c r="L230" s="517">
        <v>0.29499999999999998</v>
      </c>
      <c r="M230" s="77"/>
    </row>
    <row r="231" spans="4:13" x14ac:dyDescent="0.25">
      <c r="D231" s="182"/>
      <c r="E231" s="182"/>
      <c r="F231" s="182"/>
      <c r="G231" s="182"/>
      <c r="H231" s="182"/>
      <c r="I231" s="182"/>
      <c r="J231" s="517">
        <v>0.34599999999999997</v>
      </c>
      <c r="K231" s="517">
        <v>0.20599999999999999</v>
      </c>
      <c r="L231" s="517">
        <v>0.29599999999999999</v>
      </c>
      <c r="M231" s="77"/>
    </row>
    <row r="232" spans="4:13" x14ac:dyDescent="0.25">
      <c r="D232" s="182"/>
      <c r="E232" s="182"/>
      <c r="F232" s="182"/>
      <c r="G232" s="182"/>
      <c r="H232" s="182"/>
      <c r="I232" s="182"/>
      <c r="J232" s="517">
        <v>0.34699999999999998</v>
      </c>
      <c r="K232" s="517">
        <v>0.20699999999999999</v>
      </c>
      <c r="L232" s="517">
        <v>0.29699999999999999</v>
      </c>
      <c r="M232" s="77"/>
    </row>
    <row r="233" spans="4:13" x14ac:dyDescent="0.25">
      <c r="D233" s="182"/>
      <c r="E233" s="182"/>
      <c r="F233" s="182"/>
      <c r="G233" s="182"/>
      <c r="H233" s="182"/>
      <c r="I233" s="182"/>
      <c r="J233" s="517">
        <v>0.34799999999999998</v>
      </c>
      <c r="K233" s="517">
        <v>0.20799999999999999</v>
      </c>
      <c r="L233" s="517">
        <v>0.29799999999999999</v>
      </c>
      <c r="M233" s="77"/>
    </row>
    <row r="234" spans="4:13" x14ac:dyDescent="0.25">
      <c r="D234" s="182"/>
      <c r="E234" s="182"/>
      <c r="F234" s="182"/>
      <c r="G234" s="182"/>
      <c r="H234" s="182"/>
      <c r="I234" s="182"/>
      <c r="J234" s="517">
        <v>0.34899999999999998</v>
      </c>
      <c r="K234" s="517">
        <v>0.20899999999999999</v>
      </c>
      <c r="L234" s="517">
        <v>0.29899999999999999</v>
      </c>
      <c r="M234" s="77"/>
    </row>
    <row r="235" spans="4:13" x14ac:dyDescent="0.25">
      <c r="D235" s="182"/>
      <c r="E235" s="182"/>
      <c r="F235" s="182"/>
      <c r="G235" s="182"/>
      <c r="H235" s="182"/>
      <c r="I235" s="182"/>
      <c r="J235" s="517">
        <v>0.35</v>
      </c>
      <c r="K235" s="517">
        <v>0.21</v>
      </c>
      <c r="L235" s="517">
        <v>0.3</v>
      </c>
      <c r="M235" s="77"/>
    </row>
    <row r="236" spans="4:13" x14ac:dyDescent="0.25">
      <c r="D236" s="182"/>
      <c r="E236" s="182"/>
      <c r="F236" s="182"/>
      <c r="G236" s="182"/>
      <c r="H236" s="182"/>
      <c r="I236" s="182"/>
      <c r="J236" s="182"/>
      <c r="K236" s="182"/>
      <c r="L236" s="182"/>
      <c r="M236" s="77"/>
    </row>
    <row r="237" spans="4:13" x14ac:dyDescent="0.25">
      <c r="D237" s="182"/>
      <c r="E237" s="182"/>
      <c r="F237" s="182"/>
      <c r="G237" s="182"/>
      <c r="H237" s="182"/>
      <c r="I237" s="182"/>
      <c r="J237" s="182"/>
      <c r="K237" s="182"/>
      <c r="L237" s="182"/>
      <c r="M237" s="77"/>
    </row>
    <row r="238" spans="4:13" x14ac:dyDescent="0.25">
      <c r="D238" s="182"/>
      <c r="E238" s="182"/>
      <c r="F238" s="182"/>
      <c r="G238" s="182"/>
      <c r="H238" s="182"/>
      <c r="I238" s="182"/>
      <c r="J238" s="525" t="s">
        <v>58</v>
      </c>
      <c r="K238" s="525" t="s">
        <v>90</v>
      </c>
      <c r="L238" s="525" t="s">
        <v>73</v>
      </c>
      <c r="M238" s="77"/>
    </row>
    <row r="239" spans="4:13" x14ac:dyDescent="0.25">
      <c r="D239" s="182"/>
      <c r="E239" s="182"/>
      <c r="F239" s="182"/>
      <c r="G239" s="182"/>
      <c r="H239" s="182"/>
      <c r="I239" s="182"/>
      <c r="J239" s="517">
        <v>0.09</v>
      </c>
      <c r="K239" s="517">
        <v>0.03</v>
      </c>
      <c r="L239" s="517">
        <v>0.05</v>
      </c>
      <c r="M239" s="77"/>
    </row>
    <row r="240" spans="4:13" x14ac:dyDescent="0.25">
      <c r="D240" s="182"/>
      <c r="E240" s="182"/>
      <c r="F240" s="182"/>
      <c r="G240" s="182"/>
      <c r="H240" s="182"/>
      <c r="I240" s="182"/>
      <c r="J240" s="517">
        <v>9.0999999999999998E-2</v>
      </c>
      <c r="K240" s="517">
        <v>3.1E-2</v>
      </c>
      <c r="L240" s="517">
        <v>5.0999999999999997E-2</v>
      </c>
      <c r="M240" s="77"/>
    </row>
    <row r="241" spans="4:13" x14ac:dyDescent="0.25">
      <c r="D241" s="182"/>
      <c r="E241" s="182"/>
      <c r="F241" s="182"/>
      <c r="G241" s="182"/>
      <c r="H241" s="182"/>
      <c r="I241" s="182"/>
      <c r="J241" s="517">
        <v>9.1999999999999998E-2</v>
      </c>
      <c r="K241" s="517">
        <v>3.2000000000000001E-2</v>
      </c>
      <c r="L241" s="517">
        <v>5.1999999999999998E-2</v>
      </c>
      <c r="M241" s="77"/>
    </row>
    <row r="242" spans="4:13" x14ac:dyDescent="0.25">
      <c r="D242" s="182"/>
      <c r="E242" s="182"/>
      <c r="F242" s="182"/>
      <c r="G242" s="182"/>
      <c r="H242" s="182"/>
      <c r="I242" s="182"/>
      <c r="J242" s="517">
        <v>9.2999999999999999E-2</v>
      </c>
      <c r="K242" s="517">
        <v>3.3000000000000002E-2</v>
      </c>
      <c r="L242" s="517">
        <v>5.2999999999999999E-2</v>
      </c>
      <c r="M242" s="77"/>
    </row>
    <row r="243" spans="4:13" x14ac:dyDescent="0.25">
      <c r="D243" s="182"/>
      <c r="E243" s="182"/>
      <c r="F243" s="182"/>
      <c r="G243" s="182"/>
      <c r="H243" s="182"/>
      <c r="I243" s="182"/>
      <c r="J243" s="517">
        <v>9.4E-2</v>
      </c>
      <c r="K243" s="517">
        <v>3.4000000000000002E-2</v>
      </c>
      <c r="L243" s="517">
        <v>5.3999999999999999E-2</v>
      </c>
      <c r="M243" s="77"/>
    </row>
    <row r="244" spans="4:13" x14ac:dyDescent="0.25">
      <c r="D244" s="182"/>
      <c r="E244" s="182"/>
      <c r="F244" s="182"/>
      <c r="G244" s="182"/>
      <c r="H244" s="182"/>
      <c r="I244" s="182"/>
      <c r="J244" s="517">
        <v>9.5000000000000001E-2</v>
      </c>
      <c r="K244" s="517">
        <v>3.5000000000000003E-2</v>
      </c>
      <c r="L244" s="517">
        <v>5.5E-2</v>
      </c>
      <c r="M244" s="77"/>
    </row>
    <row r="245" spans="4:13" x14ac:dyDescent="0.25">
      <c r="D245" s="182"/>
      <c r="E245" s="182"/>
      <c r="F245" s="182"/>
      <c r="G245" s="182"/>
      <c r="H245" s="182"/>
      <c r="I245" s="182"/>
      <c r="J245" s="517">
        <v>9.6000000000000002E-2</v>
      </c>
      <c r="K245" s="517">
        <v>3.5999999999999997E-2</v>
      </c>
      <c r="L245" s="517">
        <v>5.6000000000000001E-2</v>
      </c>
      <c r="M245" s="77"/>
    </row>
    <row r="246" spans="4:13" x14ac:dyDescent="0.25">
      <c r="D246" s="182"/>
      <c r="E246" s="182"/>
      <c r="F246" s="182"/>
      <c r="G246" s="182"/>
      <c r="H246" s="182"/>
      <c r="I246" s="182"/>
      <c r="J246" s="517">
        <v>9.7000000000000003E-2</v>
      </c>
      <c r="K246" s="517">
        <v>3.6999999999999998E-2</v>
      </c>
      <c r="L246" s="517">
        <v>5.7000000000000002E-2</v>
      </c>
      <c r="M246" s="77"/>
    </row>
    <row r="247" spans="4:13" x14ac:dyDescent="0.25">
      <c r="D247" s="182"/>
      <c r="E247" s="182"/>
      <c r="F247" s="182"/>
      <c r="G247" s="182"/>
      <c r="H247" s="182"/>
      <c r="I247" s="182"/>
      <c r="J247" s="517">
        <v>9.8000000000000004E-2</v>
      </c>
      <c r="K247" s="517">
        <v>3.7999999999999999E-2</v>
      </c>
      <c r="L247" s="517">
        <v>5.8000000000000003E-2</v>
      </c>
      <c r="M247" s="77"/>
    </row>
    <row r="248" spans="4:13" x14ac:dyDescent="0.25">
      <c r="D248" s="182"/>
      <c r="E248" s="182"/>
      <c r="F248" s="182"/>
      <c r="G248" s="182"/>
      <c r="H248" s="182"/>
      <c r="I248" s="182"/>
      <c r="J248" s="517">
        <v>9.9000000000000005E-2</v>
      </c>
      <c r="K248" s="517">
        <v>3.9E-2</v>
      </c>
      <c r="L248" s="517">
        <v>5.8999999999999997E-2</v>
      </c>
      <c r="M248" s="77"/>
    </row>
    <row r="249" spans="4:13" x14ac:dyDescent="0.25">
      <c r="D249" s="182"/>
      <c r="E249" s="182"/>
      <c r="F249" s="182"/>
      <c r="G249" s="182"/>
      <c r="H249" s="182"/>
      <c r="I249" s="182"/>
      <c r="J249" s="517">
        <v>0.1</v>
      </c>
      <c r="K249" s="517">
        <v>0.04</v>
      </c>
      <c r="L249" s="517">
        <v>5.9999999999999901E-2</v>
      </c>
      <c r="M249" s="77"/>
    </row>
    <row r="250" spans="4:13" x14ac:dyDescent="0.25">
      <c r="D250" s="182"/>
      <c r="E250" s="182"/>
      <c r="F250" s="182"/>
      <c r="G250" s="182"/>
      <c r="H250" s="182"/>
      <c r="I250" s="182"/>
      <c r="J250" s="517">
        <v>0.10100000000000001</v>
      </c>
      <c r="K250" s="517">
        <v>4.1000000000000002E-2</v>
      </c>
      <c r="L250" s="517">
        <v>6.0999999999999902E-2</v>
      </c>
      <c r="M250" s="77"/>
    </row>
    <row r="251" spans="4:13" x14ac:dyDescent="0.25">
      <c r="D251" s="182"/>
      <c r="E251" s="182"/>
      <c r="F251" s="182"/>
      <c r="G251" s="182"/>
      <c r="H251" s="182"/>
      <c r="I251" s="182"/>
      <c r="J251" s="517">
        <v>0.10199999999999999</v>
      </c>
      <c r="K251" s="517">
        <v>4.2000000000000003E-2</v>
      </c>
      <c r="L251" s="517">
        <v>6.1999999999999902E-2</v>
      </c>
      <c r="M251" s="77"/>
    </row>
    <row r="252" spans="4:13" x14ac:dyDescent="0.25">
      <c r="D252" s="182"/>
      <c r="E252" s="182"/>
      <c r="F252" s="182"/>
      <c r="G252" s="182"/>
      <c r="H252" s="182"/>
      <c r="I252" s="182"/>
      <c r="J252" s="517">
        <v>0.10299999999999999</v>
      </c>
      <c r="K252" s="517">
        <v>4.2999999999999997E-2</v>
      </c>
      <c r="L252" s="517">
        <v>6.2999999999999903E-2</v>
      </c>
      <c r="M252" s="77"/>
    </row>
    <row r="253" spans="4:13" x14ac:dyDescent="0.25">
      <c r="D253" s="182"/>
      <c r="E253" s="182"/>
      <c r="F253" s="182"/>
      <c r="G253" s="182"/>
      <c r="H253" s="182"/>
      <c r="I253" s="182"/>
      <c r="J253" s="517">
        <v>0.104</v>
      </c>
      <c r="K253" s="517">
        <v>4.3999999999999997E-2</v>
      </c>
      <c r="L253" s="517">
        <v>6.3999999999999904E-2</v>
      </c>
      <c r="M253" s="77"/>
    </row>
    <row r="254" spans="4:13" x14ac:dyDescent="0.25">
      <c r="D254" s="182"/>
      <c r="E254" s="182"/>
      <c r="F254" s="182"/>
      <c r="G254" s="182"/>
      <c r="H254" s="182"/>
      <c r="I254" s="182"/>
      <c r="J254" s="517">
        <v>0.105</v>
      </c>
      <c r="K254" s="517">
        <v>4.4999999999999998E-2</v>
      </c>
      <c r="L254" s="517">
        <v>6.4999999999999905E-2</v>
      </c>
      <c r="M254" s="77"/>
    </row>
    <row r="255" spans="4:13" x14ac:dyDescent="0.25">
      <c r="D255" s="182"/>
      <c r="E255" s="182"/>
      <c r="F255" s="182"/>
      <c r="G255" s="182"/>
      <c r="H255" s="182"/>
      <c r="I255" s="182"/>
      <c r="J255" s="517">
        <v>0.106</v>
      </c>
      <c r="K255" s="517">
        <v>4.5999999999999999E-2</v>
      </c>
      <c r="L255" s="517">
        <v>6.5999999999999906E-2</v>
      </c>
      <c r="M255" s="77"/>
    </row>
    <row r="256" spans="4:13" x14ac:dyDescent="0.25">
      <c r="D256" s="182"/>
      <c r="E256" s="182"/>
      <c r="F256" s="182"/>
      <c r="G256" s="182"/>
      <c r="H256" s="182"/>
      <c r="I256" s="182"/>
      <c r="J256" s="517">
        <v>0.107</v>
      </c>
      <c r="K256" s="517">
        <v>4.7E-2</v>
      </c>
      <c r="L256" s="517">
        <v>6.6999999999999907E-2</v>
      </c>
      <c r="M256" s="77"/>
    </row>
    <row r="257" spans="4:13" x14ac:dyDescent="0.25">
      <c r="D257" s="182"/>
      <c r="E257" s="182"/>
      <c r="F257" s="182"/>
      <c r="G257" s="182"/>
      <c r="H257" s="182"/>
      <c r="I257" s="182"/>
      <c r="J257" s="517">
        <v>0.108</v>
      </c>
      <c r="K257" s="517">
        <v>4.8000000000000001E-2</v>
      </c>
      <c r="L257" s="517">
        <v>6.7999999999999894E-2</v>
      </c>
      <c r="M257" s="77"/>
    </row>
    <row r="258" spans="4:13" x14ac:dyDescent="0.25">
      <c r="D258" s="182"/>
      <c r="E258" s="182"/>
      <c r="F258" s="182"/>
      <c r="G258" s="182"/>
      <c r="H258" s="182"/>
      <c r="I258" s="182"/>
      <c r="J258" s="517">
        <v>0.109</v>
      </c>
      <c r="K258" s="517">
        <v>4.9000000000000002E-2</v>
      </c>
      <c r="L258" s="517">
        <v>6.8999999999999895E-2</v>
      </c>
      <c r="M258" s="77"/>
    </row>
    <row r="259" spans="4:13" x14ac:dyDescent="0.25">
      <c r="D259" s="182"/>
      <c r="E259" s="182"/>
      <c r="F259" s="182"/>
      <c r="G259" s="182"/>
      <c r="H259" s="182"/>
      <c r="I259" s="182"/>
      <c r="J259" s="517">
        <v>0.11</v>
      </c>
      <c r="K259" s="517">
        <v>0.05</v>
      </c>
      <c r="L259" s="517">
        <v>6.9999999999999896E-2</v>
      </c>
      <c r="M259" s="77"/>
    </row>
    <row r="260" spans="4:13" x14ac:dyDescent="0.25">
      <c r="D260" s="182"/>
      <c r="E260" s="182"/>
      <c r="F260" s="182"/>
      <c r="G260" s="182"/>
      <c r="H260" s="182"/>
      <c r="I260" s="182"/>
      <c r="J260" s="517">
        <v>0.111</v>
      </c>
      <c r="K260" s="517">
        <v>5.0999999999999997E-2</v>
      </c>
      <c r="L260" s="517">
        <v>7.0999999999999897E-2</v>
      </c>
      <c r="M260" s="77"/>
    </row>
    <row r="261" spans="4:13" x14ac:dyDescent="0.25">
      <c r="D261" s="182"/>
      <c r="E261" s="182"/>
      <c r="F261" s="182"/>
      <c r="G261" s="182"/>
      <c r="H261" s="182"/>
      <c r="I261" s="182"/>
      <c r="J261" s="517">
        <v>0.112</v>
      </c>
      <c r="K261" s="517">
        <v>5.1999999999999998E-2</v>
      </c>
      <c r="L261" s="517">
        <v>7.1999999999999897E-2</v>
      </c>
      <c r="M261" s="77"/>
    </row>
    <row r="262" spans="4:13" x14ac:dyDescent="0.25">
      <c r="D262" s="182"/>
      <c r="E262" s="182"/>
      <c r="F262" s="182"/>
      <c r="G262" s="182"/>
      <c r="H262" s="182"/>
      <c r="I262" s="182"/>
      <c r="J262" s="517">
        <v>0.113</v>
      </c>
      <c r="K262" s="517">
        <v>5.2999999999999999E-2</v>
      </c>
      <c r="L262" s="517">
        <v>7.2999999999999898E-2</v>
      </c>
      <c r="M262" s="77"/>
    </row>
    <row r="263" spans="4:13" x14ac:dyDescent="0.25">
      <c r="D263" s="182"/>
      <c r="E263" s="182"/>
      <c r="F263" s="182"/>
      <c r="G263" s="182"/>
      <c r="H263" s="182"/>
      <c r="I263" s="182"/>
      <c r="J263" s="517">
        <v>0.114</v>
      </c>
      <c r="K263" s="517">
        <v>5.3999999999999999E-2</v>
      </c>
      <c r="L263" s="517">
        <v>7.3999999999999899E-2</v>
      </c>
      <c r="M263" s="77"/>
    </row>
    <row r="264" spans="4:13" x14ac:dyDescent="0.25">
      <c r="D264" s="182"/>
      <c r="E264" s="182"/>
      <c r="F264" s="182"/>
      <c r="G264" s="182"/>
      <c r="H264" s="182"/>
      <c r="I264" s="182"/>
      <c r="J264" s="517">
        <v>0.115</v>
      </c>
      <c r="K264" s="517">
        <v>5.5E-2</v>
      </c>
      <c r="L264" s="517">
        <v>7.49999999999999E-2</v>
      </c>
      <c r="M264" s="77"/>
    </row>
    <row r="265" spans="4:13" x14ac:dyDescent="0.25">
      <c r="D265" s="182"/>
      <c r="E265" s="182"/>
      <c r="F265" s="182"/>
      <c r="G265" s="182"/>
      <c r="H265" s="182"/>
      <c r="I265" s="182"/>
      <c r="J265" s="517">
        <v>0.11600000000000001</v>
      </c>
      <c r="K265" s="517">
        <v>5.6000000000000001E-2</v>
      </c>
      <c r="L265" s="517">
        <v>7.5999999999999901E-2</v>
      </c>
      <c r="M265" s="77"/>
    </row>
    <row r="266" spans="4:13" x14ac:dyDescent="0.25">
      <c r="D266" s="182"/>
      <c r="E266" s="182"/>
      <c r="F266" s="182"/>
      <c r="G266" s="182"/>
      <c r="H266" s="182"/>
      <c r="I266" s="182"/>
      <c r="J266" s="517">
        <v>0.11700000000000001</v>
      </c>
      <c r="K266" s="517">
        <v>5.7000000000000002E-2</v>
      </c>
      <c r="L266" s="517">
        <v>7.6999999999999902E-2</v>
      </c>
      <c r="M266" s="77"/>
    </row>
    <row r="267" spans="4:13" x14ac:dyDescent="0.25">
      <c r="D267" s="182"/>
      <c r="E267" s="182"/>
      <c r="F267" s="182"/>
      <c r="G267" s="182"/>
      <c r="H267" s="182"/>
      <c r="I267" s="182"/>
      <c r="J267" s="517">
        <v>0.11799999999999999</v>
      </c>
      <c r="K267" s="517">
        <v>5.8000000000000003E-2</v>
      </c>
      <c r="L267" s="517">
        <v>7.7999999999999903E-2</v>
      </c>
      <c r="M267" s="77"/>
    </row>
    <row r="268" spans="4:13" x14ac:dyDescent="0.25">
      <c r="D268" s="182"/>
      <c r="E268" s="182"/>
      <c r="F268" s="182"/>
      <c r="G268" s="182"/>
      <c r="H268" s="182"/>
      <c r="I268" s="182"/>
      <c r="J268" s="517">
        <v>0.11899999999999999</v>
      </c>
      <c r="K268" s="517">
        <v>5.8999999999999997E-2</v>
      </c>
      <c r="L268" s="517">
        <v>7.8999999999999904E-2</v>
      </c>
      <c r="M268" s="77"/>
    </row>
    <row r="269" spans="4:13" x14ac:dyDescent="0.25">
      <c r="D269" s="182"/>
      <c r="E269" s="182"/>
      <c r="F269" s="182"/>
      <c r="G269" s="182"/>
      <c r="H269" s="182"/>
      <c r="I269" s="182"/>
      <c r="J269" s="517">
        <v>0.12</v>
      </c>
      <c r="K269" s="517">
        <v>0.06</v>
      </c>
      <c r="L269" s="517">
        <v>7.9999999999999905E-2</v>
      </c>
      <c r="M269" s="77"/>
    </row>
    <row r="270" spans="4:13" x14ac:dyDescent="0.25">
      <c r="D270" s="182"/>
      <c r="E270" s="182"/>
      <c r="F270" s="182"/>
      <c r="G270" s="182"/>
      <c r="H270" s="182"/>
      <c r="I270" s="182"/>
      <c r="J270" s="517">
        <v>0.121</v>
      </c>
      <c r="K270" s="517">
        <v>6.0999999999999999E-2</v>
      </c>
      <c r="L270" s="517">
        <v>8.0999999999999905E-2</v>
      </c>
      <c r="M270" s="77"/>
    </row>
    <row r="271" spans="4:13" x14ac:dyDescent="0.25">
      <c r="D271" s="182"/>
      <c r="E271" s="182"/>
      <c r="F271" s="182"/>
      <c r="G271" s="182"/>
      <c r="H271" s="182"/>
      <c r="I271" s="182"/>
      <c r="J271" s="517">
        <v>0.122</v>
      </c>
      <c r="K271" s="517">
        <v>6.2E-2</v>
      </c>
      <c r="L271" s="517">
        <v>8.1999999999999906E-2</v>
      </c>
      <c r="M271" s="77"/>
    </row>
    <row r="272" spans="4:13" x14ac:dyDescent="0.25">
      <c r="D272" s="182"/>
      <c r="E272" s="182"/>
      <c r="F272" s="182"/>
      <c r="G272" s="182"/>
      <c r="H272" s="182"/>
      <c r="I272" s="182"/>
      <c r="J272" s="517">
        <v>0.123</v>
      </c>
      <c r="K272" s="517">
        <v>6.3E-2</v>
      </c>
      <c r="L272" s="517">
        <v>8.2999999999999893E-2</v>
      </c>
      <c r="M272" s="77"/>
    </row>
    <row r="273" spans="4:13" x14ac:dyDescent="0.25">
      <c r="D273" s="182"/>
      <c r="E273" s="182"/>
      <c r="F273" s="182"/>
      <c r="G273" s="182"/>
      <c r="H273" s="182"/>
      <c r="I273" s="182"/>
      <c r="J273" s="517">
        <v>0.124</v>
      </c>
      <c r="K273" s="517">
        <v>6.4000000000000001E-2</v>
      </c>
      <c r="L273" s="517">
        <v>8.3999999999999894E-2</v>
      </c>
      <c r="M273" s="77"/>
    </row>
    <row r="274" spans="4:13" x14ac:dyDescent="0.25">
      <c r="D274" s="182"/>
      <c r="E274" s="182"/>
      <c r="F274" s="182"/>
      <c r="G274" s="182"/>
      <c r="H274" s="182"/>
      <c r="I274" s="182"/>
      <c r="J274" s="517">
        <v>0.125</v>
      </c>
      <c r="K274" s="517">
        <v>6.5000000000000002E-2</v>
      </c>
      <c r="L274" s="517">
        <v>8.4999999999999895E-2</v>
      </c>
      <c r="M274" s="77"/>
    </row>
    <row r="275" spans="4:13" x14ac:dyDescent="0.25">
      <c r="D275" s="182"/>
      <c r="E275" s="182"/>
      <c r="F275" s="182"/>
      <c r="G275" s="182"/>
      <c r="H275" s="182"/>
      <c r="I275" s="182"/>
      <c r="J275" s="517">
        <v>0.126</v>
      </c>
      <c r="K275" s="517">
        <v>6.6000000000000003E-2</v>
      </c>
      <c r="L275" s="517">
        <v>8.5999999999999896E-2</v>
      </c>
      <c r="M275" s="77"/>
    </row>
    <row r="276" spans="4:13" x14ac:dyDescent="0.25">
      <c r="D276" s="182"/>
      <c r="E276" s="182"/>
      <c r="F276" s="182"/>
      <c r="G276" s="182"/>
      <c r="H276" s="182"/>
      <c r="I276" s="182"/>
      <c r="J276" s="517">
        <v>0.127</v>
      </c>
      <c r="K276" s="517">
        <v>6.7000000000000004E-2</v>
      </c>
      <c r="L276" s="517">
        <v>8.6999999999999897E-2</v>
      </c>
      <c r="M276" s="77"/>
    </row>
    <row r="277" spans="4:13" x14ac:dyDescent="0.25">
      <c r="D277" s="182"/>
      <c r="E277" s="182"/>
      <c r="F277" s="182"/>
      <c r="G277" s="182"/>
      <c r="H277" s="182"/>
      <c r="I277" s="182"/>
      <c r="J277" s="517">
        <v>0.128</v>
      </c>
      <c r="K277" s="517">
        <v>6.8000000000000005E-2</v>
      </c>
      <c r="L277" s="517">
        <v>8.7999999999999898E-2</v>
      </c>
      <c r="M277" s="77"/>
    </row>
    <row r="278" spans="4:13" x14ac:dyDescent="0.25">
      <c r="D278" s="182"/>
      <c r="E278" s="182"/>
      <c r="F278" s="182"/>
      <c r="G278" s="182"/>
      <c r="H278" s="182"/>
      <c r="I278" s="182"/>
      <c r="J278" s="517">
        <v>0.129</v>
      </c>
      <c r="K278" s="517">
        <v>6.9000000000000006E-2</v>
      </c>
      <c r="L278" s="517">
        <v>8.8999999999999899E-2</v>
      </c>
      <c r="M278" s="77"/>
    </row>
    <row r="279" spans="4:13" x14ac:dyDescent="0.25">
      <c r="D279" s="182"/>
      <c r="E279" s="182"/>
      <c r="F279" s="182"/>
      <c r="G279" s="182"/>
      <c r="H279" s="182"/>
      <c r="I279" s="182"/>
      <c r="J279" s="517">
        <v>0.13</v>
      </c>
      <c r="K279" s="517">
        <v>7.0000000000000007E-2</v>
      </c>
      <c r="L279" s="517">
        <v>8.99999999999999E-2</v>
      </c>
      <c r="M279" s="77"/>
    </row>
    <row r="280" spans="4:13" x14ac:dyDescent="0.25">
      <c r="D280" s="182"/>
      <c r="E280" s="182"/>
      <c r="F280" s="182"/>
      <c r="G280" s="182"/>
      <c r="H280" s="182"/>
      <c r="I280" s="182"/>
      <c r="J280" s="517">
        <v>0.13100000000000001</v>
      </c>
      <c r="K280" s="517">
        <v>7.0999999999999994E-2</v>
      </c>
      <c r="L280" s="517">
        <v>9.09999999999999E-2</v>
      </c>
      <c r="M280" s="77"/>
    </row>
    <row r="281" spans="4:13" x14ac:dyDescent="0.25">
      <c r="D281" s="182"/>
      <c r="E281" s="182"/>
      <c r="F281" s="182"/>
      <c r="G281" s="182"/>
      <c r="H281" s="182"/>
      <c r="I281" s="182"/>
      <c r="J281" s="517">
        <v>0.13200000000000001</v>
      </c>
      <c r="K281" s="517">
        <v>7.1999999999999995E-2</v>
      </c>
      <c r="L281" s="517">
        <v>9.1999999999999901E-2</v>
      </c>
      <c r="M281" s="77"/>
    </row>
    <row r="282" spans="4:13" x14ac:dyDescent="0.25">
      <c r="D282" s="182"/>
      <c r="E282" s="182"/>
      <c r="F282" s="182"/>
      <c r="G282" s="182"/>
      <c r="H282" s="182"/>
      <c r="I282" s="182"/>
      <c r="J282" s="517">
        <v>0.13300000000000001</v>
      </c>
      <c r="K282" s="517">
        <v>7.2999999999999995E-2</v>
      </c>
      <c r="L282" s="517">
        <v>9.2999999999999902E-2</v>
      </c>
      <c r="M282" s="77"/>
    </row>
    <row r="283" spans="4:13" x14ac:dyDescent="0.25">
      <c r="D283" s="182"/>
      <c r="E283" s="182"/>
      <c r="F283" s="182"/>
      <c r="G283" s="182"/>
      <c r="H283" s="182"/>
      <c r="I283" s="182"/>
      <c r="J283" s="517">
        <v>0.13400000000000001</v>
      </c>
      <c r="K283" s="517">
        <v>7.3999999999999996E-2</v>
      </c>
      <c r="L283" s="517">
        <v>9.3999999999999903E-2</v>
      </c>
      <c r="M283" s="77"/>
    </row>
    <row r="284" spans="4:13" x14ac:dyDescent="0.25">
      <c r="D284" s="182"/>
      <c r="E284" s="182"/>
      <c r="F284" s="182"/>
      <c r="G284" s="182"/>
      <c r="H284" s="182"/>
      <c r="I284" s="182"/>
      <c r="J284" s="517">
        <v>0.13500000000000001</v>
      </c>
      <c r="K284" s="517">
        <v>7.4999999999999997E-2</v>
      </c>
      <c r="L284" s="517">
        <v>9.4999999999999904E-2</v>
      </c>
      <c r="M284" s="77"/>
    </row>
    <row r="285" spans="4:13" x14ac:dyDescent="0.25">
      <c r="D285" s="182"/>
      <c r="E285" s="182"/>
      <c r="F285" s="182"/>
      <c r="G285" s="182"/>
      <c r="H285" s="182"/>
      <c r="I285" s="182"/>
      <c r="J285" s="517">
        <v>0.13600000000000001</v>
      </c>
      <c r="K285" s="517">
        <v>7.5999999999999998E-2</v>
      </c>
      <c r="L285" s="517">
        <v>9.5999999999999905E-2</v>
      </c>
      <c r="M285" s="77"/>
    </row>
    <row r="286" spans="4:13" x14ac:dyDescent="0.25">
      <c r="D286" s="182"/>
      <c r="E286" s="182"/>
      <c r="F286" s="182"/>
      <c r="G286" s="182"/>
      <c r="H286" s="182"/>
      <c r="I286" s="182"/>
      <c r="J286" s="517">
        <v>0.13700000000000001</v>
      </c>
      <c r="K286" s="517">
        <v>7.6999999999999999E-2</v>
      </c>
      <c r="L286" s="517">
        <v>9.6999999999999906E-2</v>
      </c>
      <c r="M286" s="77"/>
    </row>
    <row r="287" spans="4:13" x14ac:dyDescent="0.25">
      <c r="D287" s="182"/>
      <c r="E287" s="182"/>
      <c r="F287" s="182"/>
      <c r="G287" s="182"/>
      <c r="H287" s="182"/>
      <c r="I287" s="182"/>
      <c r="J287" s="517">
        <v>0.13800000000000001</v>
      </c>
      <c r="K287" s="517">
        <v>7.8E-2</v>
      </c>
      <c r="L287" s="517">
        <v>9.7999999999999907E-2</v>
      </c>
      <c r="M287" s="77"/>
    </row>
    <row r="288" spans="4:13" x14ac:dyDescent="0.25">
      <c r="D288" s="182"/>
      <c r="E288" s="182"/>
      <c r="F288" s="182"/>
      <c r="G288" s="182"/>
      <c r="H288" s="182"/>
      <c r="I288" s="182"/>
      <c r="J288" s="517">
        <v>0.13900000000000001</v>
      </c>
      <c r="K288" s="517">
        <v>7.9000000000000001E-2</v>
      </c>
      <c r="L288" s="517">
        <v>9.8999999999999894E-2</v>
      </c>
      <c r="M288" s="77"/>
    </row>
    <row r="289" spans="4:13" x14ac:dyDescent="0.25">
      <c r="D289" s="182"/>
      <c r="E289" s="182"/>
      <c r="F289" s="182"/>
      <c r="G289" s="182"/>
      <c r="H289" s="182"/>
      <c r="I289" s="182"/>
      <c r="J289" s="517">
        <v>0.14000000000000001</v>
      </c>
      <c r="K289" s="517">
        <v>0.08</v>
      </c>
      <c r="L289" s="517">
        <v>9.9999999999999895E-2</v>
      </c>
      <c r="M289" s="77"/>
    </row>
    <row r="290" spans="4:13" x14ac:dyDescent="0.25">
      <c r="D290" s="182"/>
      <c r="E290" s="182"/>
      <c r="F290" s="182"/>
      <c r="G290" s="182"/>
      <c r="H290" s="182"/>
      <c r="I290" s="182"/>
      <c r="J290" s="517">
        <v>0.14099999999999999</v>
      </c>
      <c r="K290" s="517">
        <v>8.1000000000000003E-2</v>
      </c>
      <c r="L290" s="517">
        <v>0.10100000000000001</v>
      </c>
      <c r="M290" s="77"/>
    </row>
    <row r="291" spans="4:13" x14ac:dyDescent="0.25">
      <c r="D291" s="182"/>
      <c r="E291" s="182"/>
      <c r="F291" s="182"/>
      <c r="G291" s="182"/>
      <c r="H291" s="182"/>
      <c r="I291" s="182"/>
      <c r="J291" s="517">
        <v>0.14199999999999999</v>
      </c>
      <c r="K291" s="517">
        <v>8.2000000000000003E-2</v>
      </c>
      <c r="L291" s="517">
        <v>0.10199999999999999</v>
      </c>
      <c r="M291" s="77"/>
    </row>
    <row r="292" spans="4:13" x14ac:dyDescent="0.25">
      <c r="D292" s="182"/>
      <c r="E292" s="182"/>
      <c r="F292" s="182"/>
      <c r="G292" s="182"/>
      <c r="H292" s="182"/>
      <c r="I292" s="182"/>
      <c r="J292" s="517">
        <v>0.14299999999999999</v>
      </c>
      <c r="K292" s="517">
        <v>8.3000000000000004E-2</v>
      </c>
      <c r="L292" s="517">
        <v>0.10299999999999999</v>
      </c>
      <c r="M292" s="77"/>
    </row>
    <row r="293" spans="4:13" x14ac:dyDescent="0.25">
      <c r="D293" s="182"/>
      <c r="E293" s="182"/>
      <c r="F293" s="182"/>
      <c r="G293" s="182"/>
      <c r="H293" s="182"/>
      <c r="I293" s="182"/>
      <c r="J293" s="517">
        <v>0.14399999999999999</v>
      </c>
      <c r="K293" s="517">
        <v>8.4000000000000005E-2</v>
      </c>
      <c r="L293" s="517">
        <v>0.104</v>
      </c>
      <c r="M293" s="77"/>
    </row>
    <row r="294" spans="4:13" x14ac:dyDescent="0.25">
      <c r="D294" s="182"/>
      <c r="E294" s="182"/>
      <c r="F294" s="182"/>
      <c r="G294" s="182"/>
      <c r="H294" s="182"/>
      <c r="I294" s="182"/>
      <c r="J294" s="517">
        <v>0.14499999999999999</v>
      </c>
      <c r="K294" s="517">
        <v>8.5000000000000006E-2</v>
      </c>
      <c r="L294" s="517">
        <v>0.105</v>
      </c>
      <c r="M294" s="77"/>
    </row>
    <row r="295" spans="4:13" x14ac:dyDescent="0.25">
      <c r="D295" s="182"/>
      <c r="E295" s="182"/>
      <c r="F295" s="182"/>
      <c r="G295" s="182"/>
      <c r="H295" s="182"/>
      <c r="I295" s="182"/>
      <c r="J295" s="517">
        <v>0.14599999999999999</v>
      </c>
      <c r="K295" s="517">
        <v>8.5999999999999993E-2</v>
      </c>
      <c r="L295" s="517">
        <v>0.106</v>
      </c>
      <c r="M295" s="77"/>
    </row>
    <row r="296" spans="4:13" x14ac:dyDescent="0.25">
      <c r="D296" s="182"/>
      <c r="E296" s="182"/>
      <c r="F296" s="182"/>
      <c r="G296" s="182"/>
      <c r="H296" s="182"/>
      <c r="I296" s="182"/>
      <c r="J296" s="517">
        <v>0.14699999999999999</v>
      </c>
      <c r="K296" s="517">
        <v>8.6999999999999994E-2</v>
      </c>
      <c r="L296" s="517">
        <v>0.107</v>
      </c>
      <c r="M296" s="77"/>
    </row>
    <row r="297" spans="4:13" x14ac:dyDescent="0.25">
      <c r="D297" s="182"/>
      <c r="E297" s="182"/>
      <c r="F297" s="182"/>
      <c r="G297" s="182"/>
      <c r="H297" s="182"/>
      <c r="I297" s="182"/>
      <c r="J297" s="517">
        <v>0.14799999999999999</v>
      </c>
      <c r="K297" s="517">
        <v>8.7999999999999995E-2</v>
      </c>
      <c r="L297" s="517">
        <v>0.108</v>
      </c>
      <c r="M297" s="77"/>
    </row>
    <row r="298" spans="4:13" x14ac:dyDescent="0.25">
      <c r="D298" s="182"/>
      <c r="E298" s="182"/>
      <c r="F298" s="182"/>
      <c r="G298" s="182"/>
      <c r="H298" s="182"/>
      <c r="I298" s="182"/>
      <c r="J298" s="517">
        <v>0.14899999999999999</v>
      </c>
      <c r="K298" s="517">
        <v>8.8999999999999996E-2</v>
      </c>
      <c r="L298" s="517">
        <v>0.109</v>
      </c>
      <c r="M298" s="77"/>
    </row>
    <row r="299" spans="4:13" x14ac:dyDescent="0.25">
      <c r="D299" s="182"/>
      <c r="E299" s="182"/>
      <c r="F299" s="182"/>
      <c r="G299" s="182"/>
      <c r="H299" s="182"/>
      <c r="I299" s="182"/>
      <c r="J299" s="517">
        <v>0.15</v>
      </c>
      <c r="K299" s="517">
        <v>0.09</v>
      </c>
      <c r="L299" s="517">
        <v>0.11</v>
      </c>
      <c r="M299" s="77"/>
    </row>
    <row r="300" spans="4:13" x14ac:dyDescent="0.25">
      <c r="D300" s="182"/>
      <c r="E300" s="182"/>
      <c r="F300" s="182"/>
      <c r="G300" s="182"/>
      <c r="H300" s="182"/>
      <c r="I300" s="182"/>
      <c r="J300" s="517">
        <v>0.151</v>
      </c>
      <c r="K300" s="517">
        <v>9.0999999999999998E-2</v>
      </c>
      <c r="L300" s="517">
        <v>0.111</v>
      </c>
      <c r="M300" s="77"/>
    </row>
    <row r="301" spans="4:13" x14ac:dyDescent="0.25">
      <c r="D301" s="182"/>
      <c r="E301" s="182"/>
      <c r="F301" s="182"/>
      <c r="G301" s="182"/>
      <c r="H301" s="182"/>
      <c r="I301" s="182"/>
      <c r="J301" s="517">
        <v>0.152</v>
      </c>
      <c r="K301" s="517">
        <v>9.1999999999999998E-2</v>
      </c>
      <c r="L301" s="517">
        <v>0.112</v>
      </c>
      <c r="M301" s="77"/>
    </row>
    <row r="302" spans="4:13" x14ac:dyDescent="0.25">
      <c r="D302" s="182"/>
      <c r="E302" s="182"/>
      <c r="F302" s="182"/>
      <c r="G302" s="182"/>
      <c r="H302" s="182"/>
      <c r="I302" s="182"/>
      <c r="J302" s="517">
        <v>0.153</v>
      </c>
      <c r="K302" s="517">
        <v>9.2999999999999999E-2</v>
      </c>
      <c r="L302" s="517">
        <v>0.113</v>
      </c>
      <c r="M302" s="77"/>
    </row>
    <row r="303" spans="4:13" x14ac:dyDescent="0.25">
      <c r="D303" s="182"/>
      <c r="E303" s="182"/>
      <c r="F303" s="182"/>
      <c r="G303" s="182"/>
      <c r="H303" s="182"/>
      <c r="I303" s="182"/>
      <c r="J303" s="517">
        <v>0.154</v>
      </c>
      <c r="K303" s="517">
        <v>9.4E-2</v>
      </c>
      <c r="L303" s="517">
        <v>0.114</v>
      </c>
      <c r="M303" s="77"/>
    </row>
    <row r="304" spans="4:13" x14ac:dyDescent="0.25">
      <c r="D304" s="182"/>
      <c r="E304" s="182"/>
      <c r="F304" s="182"/>
      <c r="G304" s="182"/>
      <c r="H304" s="182"/>
      <c r="I304" s="182"/>
      <c r="J304" s="517">
        <v>0.155</v>
      </c>
      <c r="K304" s="517">
        <v>9.5000000000000001E-2</v>
      </c>
      <c r="L304" s="517">
        <v>0.115</v>
      </c>
      <c r="M304" s="77"/>
    </row>
    <row r="305" spans="4:13" x14ac:dyDescent="0.25">
      <c r="D305" s="182"/>
      <c r="E305" s="182"/>
      <c r="F305" s="182"/>
      <c r="G305" s="182"/>
      <c r="H305" s="182"/>
      <c r="I305" s="182"/>
      <c r="J305" s="517">
        <v>0.156</v>
      </c>
      <c r="K305" s="517">
        <v>9.6000000000000002E-2</v>
      </c>
      <c r="L305" s="517">
        <v>0.11600000000000001</v>
      </c>
      <c r="M305" s="77"/>
    </row>
    <row r="306" spans="4:13" x14ac:dyDescent="0.25">
      <c r="D306" s="182"/>
      <c r="E306" s="182"/>
      <c r="F306" s="182"/>
      <c r="G306" s="182"/>
      <c r="H306" s="182"/>
      <c r="I306" s="182"/>
      <c r="J306" s="517">
        <v>0.157</v>
      </c>
      <c r="K306" s="517">
        <v>9.70000000000001E-2</v>
      </c>
      <c r="L306" s="517">
        <v>0.11700000000000001</v>
      </c>
      <c r="M306" s="77"/>
    </row>
    <row r="307" spans="4:13" x14ac:dyDescent="0.25">
      <c r="D307" s="182"/>
      <c r="E307" s="182"/>
      <c r="F307" s="182"/>
      <c r="G307" s="182"/>
      <c r="H307" s="182"/>
      <c r="I307" s="182"/>
      <c r="J307" s="517">
        <v>0.158</v>
      </c>
      <c r="K307" s="517">
        <v>9.8000000000000101E-2</v>
      </c>
      <c r="L307" s="517">
        <v>0.11799999999999999</v>
      </c>
      <c r="M307" s="77"/>
    </row>
    <row r="308" spans="4:13" x14ac:dyDescent="0.25">
      <c r="D308" s="182"/>
      <c r="E308" s="182"/>
      <c r="F308" s="182"/>
      <c r="G308" s="182"/>
      <c r="H308" s="182"/>
      <c r="I308" s="182"/>
      <c r="J308" s="517">
        <v>0.159</v>
      </c>
      <c r="K308" s="517">
        <v>9.9000000000000102E-2</v>
      </c>
      <c r="L308" s="517">
        <v>0.11899999999999999</v>
      </c>
      <c r="M308" s="77"/>
    </row>
    <row r="309" spans="4:13" x14ac:dyDescent="0.25">
      <c r="D309" s="182"/>
      <c r="E309" s="182"/>
      <c r="F309" s="182"/>
      <c r="G309" s="182"/>
      <c r="H309" s="182"/>
      <c r="I309" s="182"/>
      <c r="J309" s="517">
        <v>0.16</v>
      </c>
      <c r="K309" s="517">
        <v>0.1</v>
      </c>
      <c r="L309" s="517">
        <v>0.12</v>
      </c>
      <c r="M309" s="77"/>
    </row>
    <row r="310" spans="4:13" x14ac:dyDescent="0.25">
      <c r="D310" s="182"/>
      <c r="E310" s="182"/>
      <c r="F310" s="182"/>
      <c r="G310" s="182"/>
      <c r="H310" s="182"/>
      <c r="I310" s="182"/>
      <c r="J310" s="517">
        <v>0.161</v>
      </c>
      <c r="K310" s="517">
        <v>0.10100000000000001</v>
      </c>
      <c r="L310" s="517">
        <v>0.121</v>
      </c>
      <c r="M310" s="77"/>
    </row>
    <row r="311" spans="4:13" x14ac:dyDescent="0.25">
      <c r="D311" s="182"/>
      <c r="E311" s="182"/>
      <c r="F311" s="182"/>
      <c r="G311" s="182"/>
      <c r="H311" s="182"/>
      <c r="I311" s="182"/>
      <c r="J311" s="517">
        <v>0.16200000000000001</v>
      </c>
      <c r="K311" s="517">
        <v>0.10199999999999999</v>
      </c>
      <c r="L311" s="517">
        <v>0.122</v>
      </c>
      <c r="M311" s="77"/>
    </row>
    <row r="312" spans="4:13" x14ac:dyDescent="0.25">
      <c r="D312" s="182"/>
      <c r="E312" s="182"/>
      <c r="F312" s="182"/>
      <c r="G312" s="182"/>
      <c r="H312" s="182"/>
      <c r="I312" s="182"/>
      <c r="J312" s="517">
        <v>0.16300000000000001</v>
      </c>
      <c r="K312" s="517">
        <v>0.10299999999999999</v>
      </c>
      <c r="L312" s="517">
        <v>0.123</v>
      </c>
      <c r="M312" s="77"/>
    </row>
    <row r="313" spans="4:13" x14ac:dyDescent="0.25">
      <c r="D313" s="182"/>
      <c r="E313" s="182"/>
      <c r="F313" s="182"/>
      <c r="G313" s="182"/>
      <c r="H313" s="182"/>
      <c r="I313" s="182"/>
      <c r="J313" s="517">
        <v>0.16400000000000001</v>
      </c>
      <c r="K313" s="517">
        <v>0.104</v>
      </c>
      <c r="L313" s="517">
        <v>0.124</v>
      </c>
      <c r="M313" s="77"/>
    </row>
    <row r="314" spans="4:13" x14ac:dyDescent="0.25">
      <c r="D314" s="182"/>
      <c r="E314" s="182"/>
      <c r="F314" s="182"/>
      <c r="G314" s="182"/>
      <c r="H314" s="182"/>
      <c r="I314" s="182"/>
      <c r="J314" s="517">
        <v>0.16500000000000001</v>
      </c>
      <c r="K314" s="517">
        <v>0.105</v>
      </c>
      <c r="L314" s="517">
        <v>0.125</v>
      </c>
      <c r="M314" s="77"/>
    </row>
    <row r="315" spans="4:13" x14ac:dyDescent="0.25">
      <c r="D315" s="182"/>
      <c r="E315" s="182"/>
      <c r="F315" s="182"/>
      <c r="G315" s="182"/>
      <c r="H315" s="182"/>
      <c r="I315" s="182"/>
      <c r="J315" s="517">
        <v>0.16600000000000001</v>
      </c>
      <c r="K315" s="517">
        <v>0.106</v>
      </c>
      <c r="L315" s="517">
        <v>0.126</v>
      </c>
      <c r="M315" s="77"/>
    </row>
    <row r="316" spans="4:13" x14ac:dyDescent="0.25">
      <c r="D316" s="182"/>
      <c r="E316" s="182"/>
      <c r="F316" s="182"/>
      <c r="G316" s="182"/>
      <c r="H316" s="182"/>
      <c r="I316" s="182"/>
      <c r="J316" s="517">
        <v>0.16700000000000001</v>
      </c>
      <c r="K316" s="517">
        <v>0.107</v>
      </c>
      <c r="L316" s="517">
        <v>0.127</v>
      </c>
      <c r="M316" s="77"/>
    </row>
    <row r="317" spans="4:13" x14ac:dyDescent="0.25">
      <c r="D317" s="182"/>
      <c r="E317" s="182"/>
      <c r="F317" s="182"/>
      <c r="G317" s="182"/>
      <c r="H317" s="182"/>
      <c r="I317" s="182"/>
      <c r="J317" s="517">
        <v>0.16800000000000001</v>
      </c>
      <c r="K317" s="517">
        <v>0.108</v>
      </c>
      <c r="L317" s="517">
        <v>0.128</v>
      </c>
      <c r="M317" s="77"/>
    </row>
    <row r="318" spans="4:13" x14ac:dyDescent="0.25">
      <c r="D318" s="182"/>
      <c r="E318" s="182"/>
      <c r="F318" s="182"/>
      <c r="G318" s="182"/>
      <c r="H318" s="182"/>
      <c r="I318" s="182"/>
      <c r="J318" s="517">
        <v>0.16900000000000001</v>
      </c>
      <c r="K318" s="517">
        <v>0.109</v>
      </c>
      <c r="L318" s="517">
        <v>0.129</v>
      </c>
      <c r="M318" s="77"/>
    </row>
    <row r="319" spans="4:13" x14ac:dyDescent="0.25">
      <c r="D319" s="182"/>
      <c r="E319" s="182"/>
      <c r="F319" s="182"/>
      <c r="G319" s="182"/>
      <c r="H319" s="182"/>
      <c r="I319" s="182"/>
      <c r="J319" s="517">
        <v>0.17</v>
      </c>
      <c r="K319" s="517">
        <v>0.11</v>
      </c>
      <c r="L319" s="517">
        <v>0.13</v>
      </c>
      <c r="M319" s="77"/>
    </row>
    <row r="320" spans="4:13" x14ac:dyDescent="0.25">
      <c r="D320" s="182"/>
      <c r="E320" s="182"/>
      <c r="F320" s="182"/>
      <c r="G320" s="182"/>
      <c r="H320" s="182"/>
      <c r="I320" s="182"/>
      <c r="J320" s="517">
        <v>0.17100000000000001</v>
      </c>
      <c r="K320" s="517">
        <v>0.111</v>
      </c>
      <c r="L320" s="517">
        <v>0.13100000000000001</v>
      </c>
      <c r="M320" s="77"/>
    </row>
    <row r="321" spans="4:13" x14ac:dyDescent="0.25">
      <c r="D321" s="182"/>
      <c r="E321" s="182"/>
      <c r="F321" s="182"/>
      <c r="G321" s="182"/>
      <c r="H321" s="182"/>
      <c r="I321" s="182"/>
      <c r="J321" s="517">
        <v>0.17199999999999999</v>
      </c>
      <c r="K321" s="517">
        <v>0.112</v>
      </c>
      <c r="L321" s="517">
        <v>0.13200000000000001</v>
      </c>
      <c r="M321" s="77"/>
    </row>
    <row r="322" spans="4:13" x14ac:dyDescent="0.25">
      <c r="D322" s="182"/>
      <c r="E322" s="182"/>
      <c r="F322" s="182"/>
      <c r="G322" s="182"/>
      <c r="H322" s="182"/>
      <c r="I322" s="182"/>
      <c r="J322" s="517">
        <v>0.17299999999999999</v>
      </c>
      <c r="K322" s="517">
        <v>0.113</v>
      </c>
      <c r="L322" s="517">
        <v>0.13300000000000001</v>
      </c>
      <c r="M322" s="77"/>
    </row>
    <row r="323" spans="4:13" x14ac:dyDescent="0.25">
      <c r="D323" s="182"/>
      <c r="E323" s="182"/>
      <c r="F323" s="182"/>
      <c r="G323" s="182"/>
      <c r="H323" s="182"/>
      <c r="I323" s="182"/>
      <c r="J323" s="517">
        <v>0.17399999999999999</v>
      </c>
      <c r="K323" s="517">
        <v>0.114</v>
      </c>
      <c r="L323" s="517">
        <v>0.13400000000000001</v>
      </c>
      <c r="M323" s="77"/>
    </row>
    <row r="324" spans="4:13" x14ac:dyDescent="0.25">
      <c r="D324" s="182"/>
      <c r="E324" s="182"/>
      <c r="F324" s="182"/>
      <c r="G324" s="182"/>
      <c r="H324" s="182"/>
      <c r="I324" s="182"/>
      <c r="J324" s="517">
        <v>0.17499999999999999</v>
      </c>
      <c r="K324" s="517">
        <v>0.115</v>
      </c>
      <c r="L324" s="517">
        <v>0.13500000000000001</v>
      </c>
      <c r="M324" s="77"/>
    </row>
    <row r="325" spans="4:13" x14ac:dyDescent="0.25">
      <c r="D325" s="182"/>
      <c r="E325" s="182"/>
      <c r="F325" s="182"/>
      <c r="G325" s="182"/>
      <c r="H325" s="182"/>
      <c r="I325" s="182"/>
      <c r="J325" s="517">
        <v>0.17599999999999999</v>
      </c>
      <c r="K325" s="517">
        <v>0.11600000000000001</v>
      </c>
      <c r="L325" s="517">
        <v>0.13600000000000001</v>
      </c>
      <c r="M325" s="77"/>
    </row>
    <row r="326" spans="4:13" x14ac:dyDescent="0.25">
      <c r="D326" s="182"/>
      <c r="E326" s="182"/>
      <c r="F326" s="182"/>
      <c r="G326" s="182"/>
      <c r="H326" s="182"/>
      <c r="I326" s="182"/>
      <c r="J326" s="517">
        <v>0.17699999999999999</v>
      </c>
      <c r="K326" s="517">
        <v>0.11700000000000001</v>
      </c>
      <c r="L326" s="517">
        <v>0.13700000000000001</v>
      </c>
      <c r="M326" s="77"/>
    </row>
    <row r="327" spans="4:13" x14ac:dyDescent="0.25">
      <c r="D327" s="182"/>
      <c r="E327" s="182"/>
      <c r="F327" s="182"/>
      <c r="G327" s="182"/>
      <c r="H327" s="182"/>
      <c r="I327" s="182"/>
      <c r="J327" s="517">
        <v>0.17799999999999999</v>
      </c>
      <c r="K327" s="517">
        <v>0.11799999999999999</v>
      </c>
      <c r="L327" s="517">
        <v>0.13800000000000001</v>
      </c>
      <c r="M327" s="77"/>
    </row>
    <row r="328" spans="4:13" x14ac:dyDescent="0.25">
      <c r="D328" s="182"/>
      <c r="E328" s="182"/>
      <c r="F328" s="182"/>
      <c r="G328" s="182"/>
      <c r="H328" s="182"/>
      <c r="I328" s="182"/>
      <c r="J328" s="517">
        <v>0.17899999999999999</v>
      </c>
      <c r="K328" s="517">
        <v>0.11899999999999999</v>
      </c>
      <c r="L328" s="517">
        <v>0.13900000000000001</v>
      </c>
      <c r="M328" s="77"/>
    </row>
    <row r="329" spans="4:13" x14ac:dyDescent="0.25">
      <c r="D329" s="182"/>
      <c r="E329" s="182"/>
      <c r="F329" s="182"/>
      <c r="G329" s="182"/>
      <c r="H329" s="182"/>
      <c r="I329" s="182"/>
      <c r="J329" s="517">
        <v>0.18</v>
      </c>
      <c r="K329" s="517">
        <v>0.12</v>
      </c>
      <c r="L329" s="517">
        <v>0.14000000000000001</v>
      </c>
      <c r="M329" s="77"/>
    </row>
    <row r="330" spans="4:13" x14ac:dyDescent="0.25">
      <c r="D330" s="182"/>
      <c r="E330" s="182"/>
      <c r="F330" s="182"/>
      <c r="G330" s="182"/>
      <c r="H330" s="182"/>
      <c r="I330" s="182"/>
      <c r="J330" s="517">
        <v>0.18099999999999999</v>
      </c>
      <c r="K330" s="517">
        <v>0.121</v>
      </c>
      <c r="L330" s="517">
        <v>0.14099999999999999</v>
      </c>
      <c r="M330" s="77"/>
    </row>
    <row r="331" spans="4:13" x14ac:dyDescent="0.25">
      <c r="D331" s="182"/>
      <c r="E331" s="182"/>
      <c r="F331" s="182"/>
      <c r="G331" s="182"/>
      <c r="H331" s="182"/>
      <c r="I331" s="182"/>
      <c r="J331" s="517">
        <v>0.182</v>
      </c>
      <c r="K331" s="517">
        <v>0.122</v>
      </c>
      <c r="L331" s="517">
        <v>0.14199999999999999</v>
      </c>
      <c r="M331" s="77"/>
    </row>
    <row r="332" spans="4:13" x14ac:dyDescent="0.25">
      <c r="D332" s="182"/>
      <c r="E332" s="182"/>
      <c r="F332" s="182"/>
      <c r="G332" s="182"/>
      <c r="H332" s="182"/>
      <c r="I332" s="182"/>
      <c r="J332" s="517">
        <v>0.183</v>
      </c>
      <c r="K332" s="517">
        <v>0.123</v>
      </c>
      <c r="L332" s="517">
        <v>0.14299999999999999</v>
      </c>
      <c r="M332" s="77"/>
    </row>
    <row r="333" spans="4:13" x14ac:dyDescent="0.25">
      <c r="D333" s="182"/>
      <c r="E333" s="182"/>
      <c r="F333" s="182"/>
      <c r="G333" s="182"/>
      <c r="H333" s="182"/>
      <c r="I333" s="182"/>
      <c r="J333" s="517">
        <v>0.184</v>
      </c>
      <c r="K333" s="517">
        <v>0.124</v>
      </c>
      <c r="L333" s="517">
        <v>0.14399999999999999</v>
      </c>
      <c r="M333" s="77"/>
    </row>
    <row r="334" spans="4:13" x14ac:dyDescent="0.25">
      <c r="D334" s="182"/>
      <c r="E334" s="182"/>
      <c r="F334" s="182"/>
      <c r="G334" s="182"/>
      <c r="H334" s="182"/>
      <c r="I334" s="182"/>
      <c r="J334" s="517">
        <v>0.185</v>
      </c>
      <c r="K334" s="517">
        <v>0.125</v>
      </c>
      <c r="L334" s="517">
        <v>0.14499999999999999</v>
      </c>
      <c r="M334" s="77"/>
    </row>
    <row r="335" spans="4:13" x14ac:dyDescent="0.25">
      <c r="D335" s="182"/>
      <c r="E335" s="182"/>
      <c r="F335" s="182"/>
      <c r="G335" s="182"/>
      <c r="H335" s="182"/>
      <c r="I335" s="182"/>
      <c r="J335" s="517">
        <v>0.186</v>
      </c>
      <c r="K335" s="517">
        <v>0.126</v>
      </c>
      <c r="L335" s="517">
        <v>0.14599999999999999</v>
      </c>
      <c r="M335" s="77"/>
    </row>
    <row r="336" spans="4:13" x14ac:dyDescent="0.25">
      <c r="D336" s="182"/>
      <c r="E336" s="182"/>
      <c r="F336" s="182"/>
      <c r="G336" s="182"/>
      <c r="H336" s="182"/>
      <c r="I336" s="182"/>
      <c r="J336" s="517">
        <v>0.187</v>
      </c>
      <c r="K336" s="517">
        <v>0.127</v>
      </c>
      <c r="L336" s="517">
        <v>0.14699999999999999</v>
      </c>
      <c r="M336" s="77"/>
    </row>
    <row r="337" spans="4:13" x14ac:dyDescent="0.25">
      <c r="D337" s="182"/>
      <c r="E337" s="182"/>
      <c r="F337" s="182"/>
      <c r="G337" s="182"/>
      <c r="H337" s="182"/>
      <c r="I337" s="182"/>
      <c r="J337" s="517">
        <v>0.188</v>
      </c>
      <c r="K337" s="517">
        <v>0.128</v>
      </c>
      <c r="L337" s="517">
        <v>0.14799999999999999</v>
      </c>
      <c r="M337" s="77"/>
    </row>
    <row r="338" spans="4:13" x14ac:dyDescent="0.25">
      <c r="D338" s="182"/>
      <c r="E338" s="182"/>
      <c r="F338" s="182"/>
      <c r="G338" s="182"/>
      <c r="H338" s="182"/>
      <c r="I338" s="182"/>
      <c r="J338" s="517">
        <v>0.189</v>
      </c>
      <c r="K338" s="517">
        <v>0.129</v>
      </c>
      <c r="L338" s="517">
        <v>0.14899999999999999</v>
      </c>
      <c r="M338" s="77"/>
    </row>
    <row r="339" spans="4:13" x14ac:dyDescent="0.25">
      <c r="D339" s="182"/>
      <c r="E339" s="182"/>
      <c r="F339" s="182"/>
      <c r="G339" s="182"/>
      <c r="H339" s="182"/>
      <c r="I339" s="182"/>
      <c r="J339" s="517">
        <v>0.19</v>
      </c>
      <c r="K339" s="517">
        <v>0.13</v>
      </c>
      <c r="L339" s="517">
        <v>0.15</v>
      </c>
      <c r="M339" s="77"/>
    </row>
    <row r="340" spans="4:13" x14ac:dyDescent="0.25">
      <c r="D340" s="182"/>
      <c r="E340" s="182"/>
      <c r="F340" s="182"/>
      <c r="G340" s="182"/>
      <c r="H340" s="182"/>
      <c r="I340" s="182"/>
      <c r="J340" s="517">
        <v>0.191</v>
      </c>
      <c r="K340" s="517">
        <v>0.13100000000000001</v>
      </c>
      <c r="L340" s="517">
        <v>0.151</v>
      </c>
      <c r="M340" s="77"/>
    </row>
    <row r="341" spans="4:13" x14ac:dyDescent="0.25">
      <c r="D341" s="182"/>
      <c r="E341" s="182"/>
      <c r="F341" s="182"/>
      <c r="G341" s="182"/>
      <c r="H341" s="182"/>
      <c r="I341" s="182"/>
      <c r="J341" s="517">
        <v>0.192</v>
      </c>
      <c r="K341" s="517">
        <v>0.13200000000000001</v>
      </c>
      <c r="L341" s="517">
        <v>0.152</v>
      </c>
      <c r="M341" s="77"/>
    </row>
    <row r="342" spans="4:13" x14ac:dyDescent="0.25">
      <c r="D342" s="182"/>
      <c r="E342" s="182"/>
      <c r="F342" s="182"/>
      <c r="G342" s="182"/>
      <c r="H342" s="182"/>
      <c r="I342" s="182"/>
      <c r="J342" s="517">
        <v>0.193</v>
      </c>
      <c r="K342" s="517">
        <v>0.13300000000000001</v>
      </c>
      <c r="L342" s="517">
        <v>0.153</v>
      </c>
      <c r="M342" s="77"/>
    </row>
    <row r="343" spans="4:13" x14ac:dyDescent="0.25">
      <c r="D343" s="182"/>
      <c r="E343" s="182"/>
      <c r="F343" s="182"/>
      <c r="G343" s="182"/>
      <c r="H343" s="182"/>
      <c r="I343" s="182"/>
      <c r="J343" s="517">
        <v>0.19400000000000001</v>
      </c>
      <c r="K343" s="517">
        <v>0.13400000000000001</v>
      </c>
      <c r="L343" s="517">
        <v>0.154</v>
      </c>
      <c r="M343" s="77"/>
    </row>
    <row r="344" spans="4:13" x14ac:dyDescent="0.25">
      <c r="D344" s="182"/>
      <c r="E344" s="182"/>
      <c r="F344" s="182"/>
      <c r="G344" s="182"/>
      <c r="H344" s="182"/>
      <c r="I344" s="182"/>
      <c r="J344" s="517">
        <v>0.19500000000000001</v>
      </c>
      <c r="K344" s="517">
        <v>0.13500000000000001</v>
      </c>
      <c r="L344" s="517">
        <v>0.155</v>
      </c>
      <c r="M344" s="77"/>
    </row>
    <row r="345" spans="4:13" x14ac:dyDescent="0.25">
      <c r="D345" s="182"/>
      <c r="E345" s="182"/>
      <c r="F345" s="182"/>
      <c r="G345" s="182"/>
      <c r="H345" s="182"/>
      <c r="I345" s="182"/>
      <c r="J345" s="517">
        <v>0.19600000000000001</v>
      </c>
      <c r="K345" s="517">
        <v>0.13600000000000001</v>
      </c>
      <c r="L345" s="517">
        <v>0.156</v>
      </c>
      <c r="M345" s="77"/>
    </row>
    <row r="346" spans="4:13" x14ac:dyDescent="0.25">
      <c r="D346" s="182"/>
      <c r="E346" s="182"/>
      <c r="F346" s="182"/>
      <c r="G346" s="182"/>
      <c r="H346" s="182"/>
      <c r="I346" s="182"/>
      <c r="J346" s="517">
        <v>0.19700000000000001</v>
      </c>
      <c r="K346" s="517">
        <v>0.13700000000000001</v>
      </c>
      <c r="L346" s="517">
        <v>0.157</v>
      </c>
      <c r="M346" s="77"/>
    </row>
    <row r="347" spans="4:13" x14ac:dyDescent="0.25">
      <c r="D347" s="182"/>
      <c r="E347" s="182"/>
      <c r="F347" s="182"/>
      <c r="G347" s="182"/>
      <c r="H347" s="182"/>
      <c r="I347" s="182"/>
      <c r="J347" s="517">
        <v>0.19800000000000001</v>
      </c>
      <c r="K347" s="517">
        <v>0.13800000000000001</v>
      </c>
      <c r="L347" s="517">
        <v>0.158</v>
      </c>
      <c r="M347" s="77"/>
    </row>
    <row r="348" spans="4:13" x14ac:dyDescent="0.25">
      <c r="D348" s="182"/>
      <c r="E348" s="182"/>
      <c r="F348" s="182"/>
      <c r="G348" s="182"/>
      <c r="H348" s="182"/>
      <c r="I348" s="182"/>
      <c r="J348" s="517">
        <v>0.19900000000000001</v>
      </c>
      <c r="K348" s="517">
        <v>0.13900000000000001</v>
      </c>
      <c r="L348" s="517">
        <v>0.159</v>
      </c>
      <c r="M348" s="77"/>
    </row>
    <row r="349" spans="4:13" x14ac:dyDescent="0.25">
      <c r="D349" s="182"/>
      <c r="E349" s="182"/>
      <c r="F349" s="182"/>
      <c r="G349" s="182"/>
      <c r="H349" s="182"/>
      <c r="I349" s="182"/>
      <c r="J349" s="517">
        <v>0.2</v>
      </c>
      <c r="K349" s="517">
        <v>0.14000000000000001</v>
      </c>
      <c r="L349" s="517">
        <v>0.16</v>
      </c>
      <c r="M349" s="77"/>
    </row>
    <row r="350" spans="4:13" x14ac:dyDescent="0.25">
      <c r="D350" s="182"/>
      <c r="E350" s="182"/>
      <c r="F350" s="182"/>
      <c r="G350" s="182"/>
      <c r="H350" s="182"/>
      <c r="I350" s="182"/>
      <c r="J350" s="517">
        <v>0.20100000000000001</v>
      </c>
      <c r="K350" s="517">
        <v>0.14099999999999999</v>
      </c>
      <c r="L350" s="517">
        <v>0.161</v>
      </c>
      <c r="M350" s="77"/>
    </row>
    <row r="351" spans="4:13" x14ac:dyDescent="0.25">
      <c r="D351" s="182"/>
      <c r="E351" s="182"/>
      <c r="F351" s="182"/>
      <c r="G351" s="182"/>
      <c r="H351" s="182"/>
      <c r="I351" s="182"/>
      <c r="J351" s="517">
        <v>0.20200000000000001</v>
      </c>
      <c r="K351" s="517">
        <v>0.14199999999999999</v>
      </c>
      <c r="L351" s="517">
        <v>0.16200000000000001</v>
      </c>
      <c r="M351" s="77"/>
    </row>
    <row r="352" spans="4:13" x14ac:dyDescent="0.25">
      <c r="D352" s="182"/>
      <c r="E352" s="182"/>
      <c r="F352" s="182"/>
      <c r="G352" s="182"/>
      <c r="H352" s="182"/>
      <c r="I352" s="182"/>
      <c r="J352" s="517">
        <v>0.20300000000000001</v>
      </c>
      <c r="K352" s="517">
        <v>0.14299999999999999</v>
      </c>
      <c r="L352" s="517">
        <v>0.16300000000000001</v>
      </c>
      <c r="M352" s="77"/>
    </row>
    <row r="353" spans="4:13" x14ac:dyDescent="0.25">
      <c r="D353" s="182"/>
      <c r="E353" s="182"/>
      <c r="F353" s="182"/>
      <c r="G353" s="182"/>
      <c r="H353" s="182"/>
      <c r="I353" s="182"/>
      <c r="J353" s="517">
        <v>0.20399999999999999</v>
      </c>
      <c r="K353" s="517">
        <v>0.14399999999999999</v>
      </c>
      <c r="L353" s="517">
        <v>0.16400000000000001</v>
      </c>
      <c r="M353" s="77"/>
    </row>
    <row r="354" spans="4:13" x14ac:dyDescent="0.25">
      <c r="D354" s="182"/>
      <c r="E354" s="182"/>
      <c r="F354" s="182"/>
      <c r="G354" s="182"/>
      <c r="H354" s="182"/>
      <c r="I354" s="182"/>
      <c r="J354" s="517">
        <v>0.20499999999999999</v>
      </c>
      <c r="K354" s="517">
        <v>0.14499999999999999</v>
      </c>
      <c r="L354" s="517">
        <v>0.16500000000000001</v>
      </c>
      <c r="M354" s="77"/>
    </row>
    <row r="355" spans="4:13" x14ac:dyDescent="0.25">
      <c r="D355" s="182"/>
      <c r="E355" s="182"/>
      <c r="F355" s="182"/>
      <c r="G355" s="182"/>
      <c r="H355" s="182"/>
      <c r="I355" s="182"/>
      <c r="J355" s="517">
        <v>0.20599999999999999</v>
      </c>
      <c r="K355" s="517">
        <v>0.14599999999999999</v>
      </c>
      <c r="L355" s="517">
        <v>0.16600000000000001</v>
      </c>
      <c r="M355" s="77"/>
    </row>
    <row r="356" spans="4:13" x14ac:dyDescent="0.25">
      <c r="D356" s="182"/>
      <c r="E356" s="182"/>
      <c r="F356" s="182"/>
      <c r="G356" s="182"/>
      <c r="H356" s="182"/>
      <c r="I356" s="182"/>
      <c r="J356" s="517">
        <v>0.20699999999999999</v>
      </c>
      <c r="K356" s="517">
        <v>0.14699999999999999</v>
      </c>
      <c r="L356" s="517">
        <v>0.16700000000000001</v>
      </c>
      <c r="M356" s="77"/>
    </row>
    <row r="357" spans="4:13" x14ac:dyDescent="0.25">
      <c r="D357" s="182"/>
      <c r="E357" s="182"/>
      <c r="F357" s="182"/>
      <c r="G357" s="182"/>
      <c r="H357" s="182"/>
      <c r="I357" s="182"/>
      <c r="J357" s="517">
        <v>0.20799999999999999</v>
      </c>
      <c r="K357" s="517">
        <v>0.14799999999999999</v>
      </c>
      <c r="L357" s="517">
        <v>0.16800000000000001</v>
      </c>
      <c r="M357" s="77"/>
    </row>
    <row r="358" spans="4:13" x14ac:dyDescent="0.25">
      <c r="D358" s="182"/>
      <c r="E358" s="182"/>
      <c r="F358" s="182"/>
      <c r="G358" s="182"/>
      <c r="H358" s="182"/>
      <c r="I358" s="182"/>
      <c r="J358" s="517">
        <v>0.20899999999999999</v>
      </c>
      <c r="K358" s="517">
        <v>0.14899999999999999</v>
      </c>
      <c r="L358" s="517">
        <v>0.16900000000000001</v>
      </c>
      <c r="M358" s="77"/>
    </row>
    <row r="359" spans="4:13" x14ac:dyDescent="0.25">
      <c r="D359" s="182"/>
      <c r="E359" s="182"/>
      <c r="F359" s="182"/>
      <c r="G359" s="182"/>
      <c r="H359" s="182"/>
      <c r="I359" s="182"/>
      <c r="J359" s="517">
        <v>0.21</v>
      </c>
      <c r="K359" s="517">
        <v>0.15</v>
      </c>
      <c r="L359" s="517">
        <v>0.17</v>
      </c>
      <c r="M359" s="77"/>
    </row>
    <row r="360" spans="4:13" x14ac:dyDescent="0.25">
      <c r="D360" s="182"/>
      <c r="E360" s="182"/>
      <c r="F360" s="182"/>
      <c r="G360" s="182"/>
      <c r="H360" s="182"/>
      <c r="I360" s="182"/>
      <c r="J360" s="517">
        <v>0.21099999999999999</v>
      </c>
      <c r="K360" s="517">
        <v>0.151</v>
      </c>
      <c r="L360" s="517">
        <v>0.17100000000000001</v>
      </c>
      <c r="M360" s="77"/>
    </row>
    <row r="361" spans="4:13" x14ac:dyDescent="0.25">
      <c r="D361" s="182"/>
      <c r="E361" s="182"/>
      <c r="F361" s="182"/>
      <c r="G361" s="182"/>
      <c r="H361" s="182"/>
      <c r="I361" s="182"/>
      <c r="J361" s="517">
        <v>0.21199999999999999</v>
      </c>
      <c r="K361" s="517">
        <v>0.152</v>
      </c>
      <c r="L361" s="517">
        <v>0.17199999999999999</v>
      </c>
      <c r="M361" s="77"/>
    </row>
    <row r="362" spans="4:13" x14ac:dyDescent="0.25">
      <c r="D362" s="182"/>
      <c r="E362" s="182"/>
      <c r="F362" s="182"/>
      <c r="G362" s="182"/>
      <c r="H362" s="182"/>
      <c r="I362" s="182"/>
      <c r="J362" s="517">
        <v>0.21299999999999999</v>
      </c>
      <c r="K362" s="517">
        <v>0.153</v>
      </c>
      <c r="L362" s="517">
        <v>0.17299999999999999</v>
      </c>
      <c r="M362" s="77"/>
    </row>
    <row r="363" spans="4:13" x14ac:dyDescent="0.25">
      <c r="D363" s="182"/>
      <c r="E363" s="182"/>
      <c r="F363" s="182"/>
      <c r="G363" s="182"/>
      <c r="H363" s="182"/>
      <c r="I363" s="182"/>
      <c r="J363" s="517">
        <v>0.214</v>
      </c>
      <c r="K363" s="517">
        <v>0.154</v>
      </c>
      <c r="L363" s="517">
        <v>0.17399999999999999</v>
      </c>
      <c r="M363" s="77"/>
    </row>
    <row r="364" spans="4:13" x14ac:dyDescent="0.25">
      <c r="D364" s="182"/>
      <c r="E364" s="182"/>
      <c r="F364" s="182"/>
      <c r="G364" s="182"/>
      <c r="H364" s="182"/>
      <c r="I364" s="182"/>
      <c r="J364" s="517">
        <v>0.215</v>
      </c>
      <c r="K364" s="517">
        <v>0.155</v>
      </c>
      <c r="L364" s="517">
        <v>0.17499999999999999</v>
      </c>
      <c r="M364" s="77"/>
    </row>
    <row r="365" spans="4:13" x14ac:dyDescent="0.25">
      <c r="D365" s="182"/>
      <c r="E365" s="182"/>
      <c r="F365" s="182"/>
      <c r="G365" s="182"/>
      <c r="H365" s="182"/>
      <c r="I365" s="182"/>
      <c r="J365" s="517">
        <v>0.216</v>
      </c>
      <c r="K365" s="517">
        <v>0.156</v>
      </c>
      <c r="L365" s="517">
        <v>0.17599999999999999</v>
      </c>
      <c r="M365" s="77"/>
    </row>
    <row r="366" spans="4:13" x14ac:dyDescent="0.25">
      <c r="D366" s="182"/>
      <c r="E366" s="182"/>
      <c r="F366" s="182"/>
      <c r="G366" s="182"/>
      <c r="H366" s="182"/>
      <c r="I366" s="182"/>
      <c r="J366" s="517">
        <v>0.217</v>
      </c>
      <c r="K366" s="517">
        <v>0.157</v>
      </c>
      <c r="L366" s="517">
        <v>0.17699999999999999</v>
      </c>
      <c r="M366" s="77"/>
    </row>
    <row r="367" spans="4:13" x14ac:dyDescent="0.25">
      <c r="D367" s="182"/>
      <c r="E367" s="182"/>
      <c r="F367" s="182"/>
      <c r="G367" s="182"/>
      <c r="H367" s="182"/>
      <c r="I367" s="182"/>
      <c r="J367" s="517">
        <v>0.218</v>
      </c>
      <c r="K367" s="517">
        <v>0.158</v>
      </c>
      <c r="L367" s="517">
        <v>0.17799999999999999</v>
      </c>
      <c r="M367" s="77"/>
    </row>
    <row r="368" spans="4:13" x14ac:dyDescent="0.25">
      <c r="D368" s="182"/>
      <c r="E368" s="182"/>
      <c r="F368" s="182"/>
      <c r="G368" s="182"/>
      <c r="H368" s="182"/>
      <c r="I368" s="182"/>
      <c r="J368" s="517">
        <v>0.219</v>
      </c>
      <c r="K368" s="517">
        <v>0.159</v>
      </c>
      <c r="L368" s="517">
        <v>0.17899999999999999</v>
      </c>
      <c r="M368" s="77"/>
    </row>
    <row r="369" spans="4:13" x14ac:dyDescent="0.25">
      <c r="D369" s="182"/>
      <c r="E369" s="182"/>
      <c r="F369" s="182"/>
      <c r="G369" s="182"/>
      <c r="H369" s="182"/>
      <c r="I369" s="182"/>
      <c r="J369" s="517">
        <v>0.22</v>
      </c>
      <c r="K369" s="517">
        <v>0.16</v>
      </c>
      <c r="L369" s="517">
        <v>0.18</v>
      </c>
      <c r="M369" s="77"/>
    </row>
    <row r="370" spans="4:13" x14ac:dyDescent="0.25">
      <c r="D370" s="182"/>
      <c r="E370" s="182"/>
      <c r="F370" s="182"/>
      <c r="G370" s="182"/>
      <c r="H370" s="182"/>
      <c r="I370" s="182"/>
      <c r="J370" s="517">
        <v>0.221</v>
      </c>
      <c r="K370" s="517">
        <v>0.161</v>
      </c>
      <c r="L370" s="517">
        <v>0.18099999999999999</v>
      </c>
      <c r="M370" s="77"/>
    </row>
    <row r="371" spans="4:13" x14ac:dyDescent="0.25">
      <c r="D371" s="182"/>
      <c r="E371" s="182"/>
      <c r="F371" s="182"/>
      <c r="G371" s="182"/>
      <c r="H371" s="182"/>
      <c r="I371" s="182"/>
      <c r="J371" s="517">
        <v>0.222</v>
      </c>
      <c r="K371" s="517">
        <v>0.16200000000000001</v>
      </c>
      <c r="L371" s="517">
        <v>0.182</v>
      </c>
      <c r="M371" s="77"/>
    </row>
    <row r="372" spans="4:13" x14ac:dyDescent="0.25">
      <c r="D372" s="182"/>
      <c r="E372" s="182"/>
      <c r="F372" s="182"/>
      <c r="G372" s="182"/>
      <c r="H372" s="182"/>
      <c r="I372" s="182"/>
      <c r="J372" s="517">
        <v>0.223</v>
      </c>
      <c r="K372" s="517">
        <v>0.16300000000000001</v>
      </c>
      <c r="L372" s="517">
        <v>0.183</v>
      </c>
      <c r="M372" s="77"/>
    </row>
    <row r="373" spans="4:13" x14ac:dyDescent="0.25">
      <c r="D373" s="182"/>
      <c r="E373" s="182"/>
      <c r="F373" s="182"/>
      <c r="G373" s="182"/>
      <c r="H373" s="182"/>
      <c r="I373" s="182"/>
      <c r="J373" s="517">
        <v>0.224</v>
      </c>
      <c r="K373" s="517">
        <v>0.16400000000000001</v>
      </c>
      <c r="L373" s="517">
        <v>0.184</v>
      </c>
      <c r="M373" s="77"/>
    </row>
    <row r="374" spans="4:13" x14ac:dyDescent="0.25">
      <c r="D374" s="182"/>
      <c r="E374" s="182"/>
      <c r="F374" s="182"/>
      <c r="G374" s="182"/>
      <c r="H374" s="182"/>
      <c r="I374" s="182"/>
      <c r="J374" s="517">
        <v>0.22500000000000001</v>
      </c>
      <c r="K374" s="517">
        <v>0.16500000000000001</v>
      </c>
      <c r="L374" s="517">
        <v>0.185</v>
      </c>
      <c r="M374" s="77"/>
    </row>
    <row r="375" spans="4:13" x14ac:dyDescent="0.25">
      <c r="D375" s="182"/>
      <c r="E375" s="182"/>
      <c r="F375" s="182"/>
      <c r="G375" s="182"/>
      <c r="H375" s="182"/>
      <c r="I375" s="182"/>
      <c r="J375" s="517">
        <v>0.22600000000000001</v>
      </c>
      <c r="K375" s="517">
        <v>0.16600000000000001</v>
      </c>
      <c r="L375" s="517">
        <v>0.186</v>
      </c>
      <c r="M375" s="77"/>
    </row>
    <row r="376" spans="4:13" x14ac:dyDescent="0.25">
      <c r="D376" s="182"/>
      <c r="E376" s="182"/>
      <c r="F376" s="182"/>
      <c r="G376" s="182"/>
      <c r="H376" s="182"/>
      <c r="I376" s="182"/>
      <c r="J376" s="517">
        <v>0.22700000000000001</v>
      </c>
      <c r="K376" s="517">
        <v>0.16700000000000001</v>
      </c>
      <c r="L376" s="517">
        <v>0.187</v>
      </c>
      <c r="M376" s="77"/>
    </row>
    <row r="377" spans="4:13" x14ac:dyDescent="0.25">
      <c r="D377" s="182"/>
      <c r="E377" s="182"/>
      <c r="F377" s="182"/>
      <c r="G377" s="182"/>
      <c r="H377" s="182"/>
      <c r="I377" s="182"/>
      <c r="J377" s="517">
        <v>0.22800000000000001</v>
      </c>
      <c r="K377" s="517">
        <v>0.16800000000000001</v>
      </c>
      <c r="L377" s="517">
        <v>0.188</v>
      </c>
      <c r="M377" s="77"/>
    </row>
    <row r="378" spans="4:13" x14ac:dyDescent="0.25">
      <c r="D378" s="182"/>
      <c r="E378" s="182"/>
      <c r="F378" s="182"/>
      <c r="G378" s="182"/>
      <c r="H378" s="182"/>
      <c r="I378" s="182"/>
      <c r="J378" s="517">
        <v>0.22900000000000001</v>
      </c>
      <c r="K378" s="517">
        <v>0.16900000000000001</v>
      </c>
      <c r="L378" s="517">
        <v>0.189</v>
      </c>
      <c r="M378" s="77"/>
    </row>
    <row r="379" spans="4:13" x14ac:dyDescent="0.25">
      <c r="D379" s="182"/>
      <c r="E379" s="182"/>
      <c r="F379" s="182"/>
      <c r="G379" s="182"/>
      <c r="H379" s="182"/>
      <c r="I379" s="182"/>
      <c r="J379" s="517">
        <v>0.23</v>
      </c>
      <c r="K379" s="517">
        <v>0.17</v>
      </c>
      <c r="L379" s="517">
        <v>0.19</v>
      </c>
      <c r="M379" s="77"/>
    </row>
    <row r="380" spans="4:13" x14ac:dyDescent="0.25">
      <c r="D380" s="182"/>
      <c r="E380" s="182"/>
      <c r="F380" s="182"/>
      <c r="G380" s="182"/>
      <c r="H380" s="182"/>
      <c r="I380" s="182"/>
      <c r="J380" s="517">
        <v>0.23100000000000001</v>
      </c>
      <c r="K380" s="517">
        <v>0.17100000000000001</v>
      </c>
      <c r="L380" s="517">
        <v>0.191</v>
      </c>
      <c r="M380" s="77"/>
    </row>
    <row r="381" spans="4:13" x14ac:dyDescent="0.25">
      <c r="D381" s="182"/>
      <c r="E381" s="182"/>
      <c r="F381" s="182"/>
      <c r="G381" s="182"/>
      <c r="H381" s="182"/>
      <c r="I381" s="182"/>
      <c r="J381" s="517">
        <v>0.23200000000000001</v>
      </c>
      <c r="K381" s="517">
        <v>0.17199999999999999</v>
      </c>
      <c r="L381" s="517">
        <v>0.192</v>
      </c>
      <c r="M381" s="77"/>
    </row>
    <row r="382" spans="4:13" x14ac:dyDescent="0.25">
      <c r="D382" s="182"/>
      <c r="E382" s="182"/>
      <c r="F382" s="182"/>
      <c r="G382" s="182"/>
      <c r="H382" s="182"/>
      <c r="I382" s="182"/>
      <c r="J382" s="517">
        <v>0.23300000000000001</v>
      </c>
      <c r="K382" s="517">
        <v>0.17299999999999999</v>
      </c>
      <c r="L382" s="517">
        <v>0.193</v>
      </c>
      <c r="M382" s="77"/>
    </row>
    <row r="383" spans="4:13" x14ac:dyDescent="0.25">
      <c r="D383" s="182"/>
      <c r="E383" s="182"/>
      <c r="F383" s="182"/>
      <c r="G383" s="182"/>
      <c r="H383" s="182"/>
      <c r="I383" s="182"/>
      <c r="J383" s="517">
        <v>0.23400000000000001</v>
      </c>
      <c r="K383" s="517">
        <v>0.17399999999999999</v>
      </c>
      <c r="L383" s="517">
        <v>0.19400000000000001</v>
      </c>
      <c r="M383" s="77"/>
    </row>
    <row r="384" spans="4:13" x14ac:dyDescent="0.25">
      <c r="D384" s="182"/>
      <c r="E384" s="182"/>
      <c r="F384" s="182"/>
      <c r="G384" s="182"/>
      <c r="H384" s="182"/>
      <c r="I384" s="182"/>
      <c r="J384" s="517">
        <v>0.23499999999999999</v>
      </c>
      <c r="K384" s="517">
        <v>0.17499999999999999</v>
      </c>
      <c r="L384" s="517">
        <v>0.19500000000000001</v>
      </c>
      <c r="M384" s="77"/>
    </row>
    <row r="385" spans="4:13" x14ac:dyDescent="0.25">
      <c r="D385" s="182"/>
      <c r="E385" s="182"/>
      <c r="F385" s="182"/>
      <c r="G385" s="182"/>
      <c r="H385" s="182"/>
      <c r="I385" s="182"/>
      <c r="J385" s="517">
        <v>0.23599999999999999</v>
      </c>
      <c r="K385" s="517">
        <v>0.17599999999999999</v>
      </c>
      <c r="L385" s="517">
        <v>0.19600000000000001</v>
      </c>
      <c r="M385" s="77"/>
    </row>
    <row r="386" spans="4:13" x14ac:dyDescent="0.25">
      <c r="D386" s="182"/>
      <c r="E386" s="182"/>
      <c r="F386" s="182"/>
      <c r="G386" s="182"/>
      <c r="H386" s="182"/>
      <c r="I386" s="182"/>
      <c r="J386" s="517">
        <v>0.23699999999999999</v>
      </c>
      <c r="K386" s="517">
        <v>0.17699999999999999</v>
      </c>
      <c r="L386" s="517">
        <v>0.19700000000000001</v>
      </c>
      <c r="M386" s="77"/>
    </row>
    <row r="387" spans="4:13" x14ac:dyDescent="0.25">
      <c r="D387" s="182"/>
      <c r="E387" s="182"/>
      <c r="F387" s="182"/>
      <c r="G387" s="182"/>
      <c r="H387" s="182"/>
      <c r="I387" s="182"/>
      <c r="J387" s="517">
        <v>0.23799999999999999</v>
      </c>
      <c r="K387" s="517">
        <v>0.17799999999999999</v>
      </c>
      <c r="L387" s="517">
        <v>0.19800000000000001</v>
      </c>
      <c r="M387" s="77"/>
    </row>
    <row r="388" spans="4:13" x14ac:dyDescent="0.25">
      <c r="D388" s="182"/>
      <c r="E388" s="182"/>
      <c r="F388" s="182"/>
      <c r="G388" s="182"/>
      <c r="H388" s="182"/>
      <c r="I388" s="182"/>
      <c r="J388" s="517">
        <v>0.23899999999999999</v>
      </c>
      <c r="K388" s="517">
        <v>0.17899999999999999</v>
      </c>
      <c r="L388" s="517">
        <v>0.19900000000000001</v>
      </c>
      <c r="M388" s="77"/>
    </row>
    <row r="389" spans="4:13" x14ac:dyDescent="0.25">
      <c r="D389" s="182"/>
      <c r="E389" s="182"/>
      <c r="F389" s="182"/>
      <c r="G389" s="182"/>
      <c r="H389" s="182"/>
      <c r="I389" s="182"/>
      <c r="J389" s="517">
        <v>0.24</v>
      </c>
      <c r="K389" s="517">
        <v>0.18</v>
      </c>
      <c r="L389" s="517">
        <v>0.2</v>
      </c>
      <c r="M389" s="77"/>
    </row>
    <row r="390" spans="4:13" x14ac:dyDescent="0.25">
      <c r="D390" s="182"/>
      <c r="E390" s="182"/>
      <c r="F390" s="182"/>
      <c r="G390" s="182"/>
      <c r="H390" s="182"/>
      <c r="I390" s="182"/>
      <c r="J390" s="182"/>
      <c r="K390" s="182"/>
      <c r="L390" s="182"/>
      <c r="M390" s="77"/>
    </row>
    <row r="391" spans="4:13" x14ac:dyDescent="0.25">
      <c r="D391" s="182"/>
      <c r="E391" s="182"/>
      <c r="F391" s="182"/>
      <c r="G391" s="182"/>
      <c r="H391" s="182"/>
      <c r="I391" s="182"/>
      <c r="J391" s="182"/>
      <c r="K391" s="182"/>
      <c r="L391" s="182"/>
      <c r="M391" s="77"/>
    </row>
    <row r="392" spans="4:13" x14ac:dyDescent="0.25">
      <c r="D392" s="182"/>
      <c r="E392" s="182"/>
      <c r="F392" s="182"/>
      <c r="G392" s="182"/>
      <c r="H392" s="182"/>
      <c r="I392" s="182"/>
      <c r="J392" s="182"/>
      <c r="K392" s="182"/>
      <c r="L392" s="182"/>
      <c r="M392" s="77"/>
    </row>
    <row r="393" spans="4:13" x14ac:dyDescent="0.25">
      <c r="D393" s="182"/>
      <c r="E393" s="182"/>
      <c r="F393" s="182"/>
      <c r="G393" s="182"/>
      <c r="H393" s="182"/>
      <c r="I393" s="182"/>
      <c r="J393" s="182"/>
      <c r="K393" s="182"/>
      <c r="L393" s="182"/>
      <c r="M393" s="77"/>
    </row>
    <row r="394" spans="4:13" x14ac:dyDescent="0.25">
      <c r="D394" s="182"/>
      <c r="E394" s="182"/>
      <c r="F394" s="182"/>
      <c r="G394" s="182"/>
      <c r="H394" s="182"/>
      <c r="I394" s="182"/>
      <c r="J394" s="182"/>
      <c r="K394" s="182"/>
      <c r="L394" s="182"/>
      <c r="M394" s="77"/>
    </row>
    <row r="395" spans="4:13" x14ac:dyDescent="0.25">
      <c r="D395" s="182"/>
      <c r="E395" s="182"/>
      <c r="F395" s="182"/>
      <c r="G395" s="182"/>
      <c r="H395" s="182"/>
      <c r="I395" s="182"/>
      <c r="J395" s="182"/>
      <c r="K395" s="182"/>
      <c r="L395" s="182"/>
      <c r="M395" s="77"/>
    </row>
    <row r="396" spans="4:13" x14ac:dyDescent="0.25">
      <c r="D396" s="182"/>
      <c r="E396" s="182"/>
      <c r="F396" s="182"/>
      <c r="G396" s="182"/>
      <c r="H396" s="182"/>
      <c r="I396" s="182"/>
      <c r="J396" s="182"/>
      <c r="K396" s="182"/>
      <c r="L396" s="182"/>
      <c r="M396" s="77"/>
    </row>
    <row r="397" spans="4:13" x14ac:dyDescent="0.25">
      <c r="D397" s="182"/>
      <c r="E397" s="182"/>
      <c r="F397" s="182"/>
      <c r="G397" s="182"/>
      <c r="H397" s="182"/>
      <c r="I397" s="182"/>
      <c r="J397" s="182"/>
      <c r="K397" s="182"/>
      <c r="L397" s="182"/>
      <c r="M397" s="77"/>
    </row>
    <row r="398" spans="4:13" x14ac:dyDescent="0.25">
      <c r="D398" s="182"/>
      <c r="E398" s="182"/>
      <c r="F398" s="182"/>
      <c r="G398" s="182"/>
      <c r="H398" s="182"/>
      <c r="I398" s="182"/>
      <c r="J398" s="182"/>
      <c r="K398" s="182"/>
      <c r="L398" s="182"/>
      <c r="M398" s="77"/>
    </row>
    <row r="399" spans="4:13" x14ac:dyDescent="0.25">
      <c r="D399" s="182"/>
      <c r="E399" s="182"/>
      <c r="F399" s="182"/>
      <c r="G399" s="182"/>
      <c r="H399" s="182"/>
      <c r="I399" s="182"/>
      <c r="J399" s="182"/>
      <c r="K399" s="182"/>
      <c r="L399" s="182"/>
      <c r="M399" s="77"/>
    </row>
    <row r="400" spans="4:13" x14ac:dyDescent="0.25">
      <c r="D400" s="182"/>
      <c r="E400" s="182"/>
      <c r="F400" s="182"/>
      <c r="G400" s="182"/>
      <c r="H400" s="182"/>
      <c r="I400" s="182"/>
      <c r="J400" s="182"/>
      <c r="K400" s="182"/>
      <c r="L400" s="182"/>
      <c r="M400" s="77"/>
    </row>
    <row r="401" spans="4:13" x14ac:dyDescent="0.25">
      <c r="D401" s="182"/>
      <c r="E401" s="182"/>
      <c r="F401" s="182"/>
      <c r="G401" s="182"/>
      <c r="H401" s="182"/>
      <c r="I401" s="182"/>
      <c r="J401" s="182"/>
      <c r="K401" s="182"/>
      <c r="L401" s="182"/>
      <c r="M401" s="77"/>
    </row>
    <row r="402" spans="4:13" x14ac:dyDescent="0.25">
      <c r="D402" s="182"/>
      <c r="E402" s="182"/>
      <c r="F402" s="182"/>
      <c r="G402" s="182"/>
      <c r="H402" s="182"/>
      <c r="I402" s="182"/>
      <c r="J402" s="182"/>
      <c r="K402" s="182"/>
      <c r="L402" s="182"/>
      <c r="M402" s="77"/>
    </row>
    <row r="403" spans="4:13" x14ac:dyDescent="0.25">
      <c r="D403" s="182"/>
      <c r="E403" s="182"/>
      <c r="F403" s="182"/>
      <c r="G403" s="182"/>
      <c r="H403" s="182"/>
      <c r="I403" s="182"/>
      <c r="J403" s="182"/>
      <c r="K403" s="182"/>
      <c r="L403" s="182"/>
      <c r="M403" s="77"/>
    </row>
    <row r="404" spans="4:13" x14ac:dyDescent="0.25">
      <c r="D404" s="182"/>
      <c r="E404" s="182"/>
      <c r="F404" s="182"/>
      <c r="G404" s="182"/>
      <c r="H404" s="182"/>
      <c r="I404" s="182"/>
      <c r="J404" s="182"/>
      <c r="K404" s="182"/>
      <c r="L404" s="182"/>
      <c r="M404" s="77"/>
    </row>
    <row r="405" spans="4:13" x14ac:dyDescent="0.25">
      <c r="D405" s="182"/>
      <c r="E405" s="182"/>
      <c r="F405" s="182"/>
      <c r="G405" s="182"/>
      <c r="H405" s="182"/>
      <c r="I405" s="182"/>
      <c r="J405" s="182"/>
      <c r="K405" s="182"/>
      <c r="L405" s="182"/>
      <c r="M405" s="77"/>
    </row>
    <row r="406" spans="4:13" x14ac:dyDescent="0.25">
      <c r="D406" s="182"/>
      <c r="E406" s="182"/>
      <c r="F406" s="182"/>
      <c r="G406" s="182"/>
      <c r="H406" s="182"/>
      <c r="I406" s="182"/>
      <c r="J406" s="182"/>
      <c r="K406" s="182"/>
      <c r="L406" s="182"/>
      <c r="M406" s="77"/>
    </row>
    <row r="407" spans="4:13" x14ac:dyDescent="0.25">
      <c r="D407" s="182"/>
      <c r="E407" s="182"/>
      <c r="F407" s="182"/>
      <c r="G407" s="182"/>
      <c r="H407" s="182"/>
      <c r="I407" s="182"/>
      <c r="J407" s="182"/>
      <c r="K407" s="182"/>
      <c r="L407" s="182"/>
      <c r="M407" s="77"/>
    </row>
    <row r="408" spans="4:13" x14ac:dyDescent="0.25">
      <c r="D408" s="182"/>
      <c r="E408" s="182"/>
      <c r="F408" s="182"/>
      <c r="G408" s="182"/>
      <c r="H408" s="182"/>
      <c r="I408" s="182"/>
      <c r="J408" s="182"/>
      <c r="K408" s="182"/>
      <c r="L408" s="182"/>
      <c r="M408" s="77"/>
    </row>
    <row r="409" spans="4:13" x14ac:dyDescent="0.25">
      <c r="D409" s="182"/>
      <c r="E409" s="182"/>
      <c r="F409" s="182"/>
      <c r="G409" s="182"/>
      <c r="H409" s="182"/>
      <c r="I409" s="182"/>
      <c r="J409" s="182"/>
      <c r="K409" s="182"/>
      <c r="L409" s="182"/>
      <c r="M409" s="77"/>
    </row>
    <row r="410" spans="4:13" x14ac:dyDescent="0.25">
      <c r="D410" s="182"/>
      <c r="E410" s="182"/>
      <c r="F410" s="182"/>
      <c r="G410" s="182"/>
      <c r="H410" s="182"/>
      <c r="I410" s="182"/>
      <c r="J410" s="182"/>
      <c r="K410" s="182"/>
      <c r="L410" s="182"/>
      <c r="M410" s="77"/>
    </row>
    <row r="411" spans="4:13" x14ac:dyDescent="0.25">
      <c r="D411" s="182"/>
      <c r="E411" s="182"/>
      <c r="F411" s="182"/>
      <c r="G411" s="182"/>
      <c r="H411" s="182"/>
      <c r="I411" s="182"/>
      <c r="J411" s="182"/>
      <c r="K411" s="182"/>
      <c r="L411" s="182"/>
      <c r="M411" s="77"/>
    </row>
    <row r="412" spans="4:13" x14ac:dyDescent="0.25">
      <c r="D412" s="182"/>
      <c r="E412" s="182"/>
      <c r="F412" s="182"/>
      <c r="G412" s="182"/>
      <c r="H412" s="182"/>
      <c r="I412" s="182"/>
      <c r="J412" s="182"/>
      <c r="K412" s="182"/>
      <c r="L412" s="182"/>
      <c r="M412" s="77"/>
    </row>
    <row r="413" spans="4:13" x14ac:dyDescent="0.25">
      <c r="D413" s="182"/>
      <c r="E413" s="182"/>
      <c r="F413" s="182"/>
      <c r="G413" s="182"/>
      <c r="H413" s="182"/>
      <c r="I413" s="182"/>
      <c r="J413" s="182"/>
      <c r="K413" s="182"/>
      <c r="L413" s="182"/>
      <c r="M413" s="77"/>
    </row>
    <row r="414" spans="4:13" x14ac:dyDescent="0.25">
      <c r="D414" s="182"/>
      <c r="E414" s="182"/>
      <c r="F414" s="182"/>
      <c r="G414" s="182"/>
      <c r="H414" s="182"/>
      <c r="I414" s="182"/>
      <c r="J414" s="182"/>
      <c r="K414" s="182"/>
      <c r="L414" s="182"/>
      <c r="M414" s="77"/>
    </row>
    <row r="415" spans="4:13" x14ac:dyDescent="0.25">
      <c r="D415" s="182"/>
      <c r="E415" s="182"/>
      <c r="F415" s="182"/>
      <c r="G415" s="182"/>
      <c r="H415" s="182"/>
      <c r="I415" s="182"/>
      <c r="J415" s="182"/>
      <c r="K415" s="182"/>
      <c r="L415" s="182"/>
      <c r="M415" s="77"/>
    </row>
    <row r="416" spans="4:13" x14ac:dyDescent="0.25">
      <c r="D416" s="182"/>
      <c r="E416" s="182"/>
      <c r="F416" s="182"/>
      <c r="G416" s="182"/>
      <c r="H416" s="182"/>
      <c r="I416" s="182"/>
      <c r="J416" s="182"/>
      <c r="K416" s="182"/>
      <c r="L416" s="182"/>
      <c r="M416" s="77"/>
    </row>
    <row r="417" spans="4:13" x14ac:dyDescent="0.25">
      <c r="D417" s="182"/>
      <c r="E417" s="182"/>
      <c r="F417" s="182"/>
      <c r="G417" s="182"/>
      <c r="H417" s="182"/>
      <c r="I417" s="182"/>
      <c r="J417" s="182"/>
      <c r="K417" s="182"/>
      <c r="L417" s="182"/>
      <c r="M417" s="77"/>
    </row>
    <row r="418" spans="4:13" x14ac:dyDescent="0.25">
      <c r="D418" s="182"/>
      <c r="E418" s="182"/>
      <c r="F418" s="182"/>
      <c r="G418" s="182"/>
      <c r="H418" s="182"/>
      <c r="I418" s="182"/>
      <c r="J418" s="182"/>
      <c r="K418" s="182"/>
      <c r="L418" s="182"/>
      <c r="M418" s="77"/>
    </row>
    <row r="419" spans="4:13" x14ac:dyDescent="0.25">
      <c r="D419" s="182"/>
      <c r="E419" s="182"/>
      <c r="F419" s="182"/>
      <c r="G419" s="182"/>
      <c r="H419" s="182"/>
      <c r="I419" s="182"/>
      <c r="J419" s="182"/>
      <c r="K419" s="182"/>
      <c r="L419" s="182"/>
      <c r="M419" s="77"/>
    </row>
    <row r="420" spans="4:13" x14ac:dyDescent="0.25">
      <c r="D420" s="182"/>
      <c r="E420" s="182"/>
      <c r="F420" s="182"/>
      <c r="G420" s="182"/>
      <c r="H420" s="182"/>
      <c r="I420" s="182"/>
      <c r="J420" s="182"/>
      <c r="K420" s="182"/>
      <c r="L420" s="182"/>
      <c r="M420" s="77"/>
    </row>
    <row r="421" spans="4:13" x14ac:dyDescent="0.25">
      <c r="D421" s="182"/>
      <c r="E421" s="182"/>
      <c r="F421" s="182"/>
      <c r="G421" s="182"/>
      <c r="H421" s="182"/>
      <c r="I421" s="182"/>
      <c r="J421" s="182"/>
      <c r="K421" s="182"/>
      <c r="L421" s="182"/>
      <c r="M421" s="77"/>
    </row>
    <row r="422" spans="4:13" x14ac:dyDescent="0.25">
      <c r="D422" s="182"/>
      <c r="E422" s="182"/>
      <c r="F422" s="182"/>
      <c r="G422" s="182"/>
      <c r="H422" s="182"/>
      <c r="I422" s="182"/>
      <c r="J422" s="182"/>
      <c r="K422" s="182"/>
      <c r="L422" s="182"/>
      <c r="M422" s="77"/>
    </row>
    <row r="423" spans="4:13" x14ac:dyDescent="0.25">
      <c r="D423" s="182"/>
      <c r="E423" s="182"/>
      <c r="F423" s="182"/>
      <c r="G423" s="182"/>
      <c r="H423" s="182"/>
      <c r="I423" s="182"/>
      <c r="J423" s="182"/>
      <c r="K423" s="182"/>
      <c r="L423" s="182"/>
      <c r="M423" s="77"/>
    </row>
    <row r="424" spans="4:13" x14ac:dyDescent="0.25">
      <c r="D424" s="182"/>
      <c r="E424" s="182"/>
      <c r="F424" s="182"/>
      <c r="G424" s="182"/>
      <c r="H424" s="182"/>
      <c r="I424" s="182"/>
      <c r="J424" s="182"/>
      <c r="K424" s="182"/>
      <c r="L424" s="182"/>
      <c r="M424" s="77"/>
    </row>
    <row r="425" spans="4:13" x14ac:dyDescent="0.25">
      <c r="J425" s="77"/>
      <c r="K425" s="77"/>
      <c r="L425" s="77"/>
      <c r="M425" s="77"/>
    </row>
    <row r="426" spans="4:13" x14ac:dyDescent="0.25">
      <c r="J426" s="77"/>
      <c r="K426" s="77"/>
      <c r="L426" s="77"/>
      <c r="M426" s="77"/>
    </row>
    <row r="427" spans="4:13" x14ac:dyDescent="0.25">
      <c r="J427" s="77"/>
      <c r="K427" s="77"/>
      <c r="L427" s="77"/>
      <c r="M427" s="77"/>
    </row>
    <row r="428" spans="4:13" x14ac:dyDescent="0.25">
      <c r="J428" s="77"/>
      <c r="K428" s="77"/>
      <c r="L428" s="77"/>
      <c r="M428" s="77"/>
    </row>
    <row r="429" spans="4:13" x14ac:dyDescent="0.25">
      <c r="J429" s="77"/>
      <c r="K429" s="77"/>
      <c r="L429" s="77"/>
      <c r="M429" s="77"/>
    </row>
    <row r="430" spans="4:13" x14ac:dyDescent="0.25">
      <c r="J430" s="77"/>
      <c r="K430" s="77"/>
      <c r="L430" s="77"/>
      <c r="M430" s="77"/>
    </row>
    <row r="431" spans="4:13" x14ac:dyDescent="0.25">
      <c r="J431" s="77"/>
      <c r="K431" s="77"/>
      <c r="L431" s="77"/>
      <c r="M431" s="77"/>
    </row>
    <row r="432" spans="4:13" x14ac:dyDescent="0.25">
      <c r="J432" s="77"/>
      <c r="K432" s="77"/>
      <c r="L432" s="77"/>
      <c r="M432" s="77"/>
    </row>
    <row r="433" spans="10:13" x14ac:dyDescent="0.25">
      <c r="J433" s="77"/>
      <c r="K433" s="77"/>
      <c r="L433" s="77"/>
      <c r="M433" s="77"/>
    </row>
    <row r="434" spans="10:13" x14ac:dyDescent="0.25">
      <c r="J434" s="77"/>
      <c r="K434" s="77"/>
      <c r="L434" s="77"/>
      <c r="M434" s="77"/>
    </row>
    <row r="435" spans="10:13" x14ac:dyDescent="0.25">
      <c r="J435" s="77"/>
      <c r="K435" s="77"/>
      <c r="L435" s="77"/>
      <c r="M435" s="77"/>
    </row>
    <row r="436" spans="10:13" x14ac:dyDescent="0.25">
      <c r="J436" s="77"/>
      <c r="K436" s="77"/>
      <c r="L436" s="77"/>
    </row>
    <row r="437" spans="10:13" x14ac:dyDescent="0.25">
      <c r="J437" s="77"/>
      <c r="K437" s="77"/>
      <c r="L437" s="77"/>
    </row>
    <row r="438" spans="10:13" x14ac:dyDescent="0.25">
      <c r="J438" s="77"/>
      <c r="K438" s="77"/>
      <c r="L438" s="77"/>
    </row>
    <row r="439" spans="10:13" x14ac:dyDescent="0.25">
      <c r="J439" s="77"/>
      <c r="K439" s="77"/>
      <c r="L439" s="77"/>
    </row>
    <row r="440" spans="10:13" x14ac:dyDescent="0.25">
      <c r="J440" s="77"/>
      <c r="K440" s="77"/>
      <c r="L440" s="77"/>
    </row>
    <row r="441" spans="10:13" x14ac:dyDescent="0.25">
      <c r="J441" s="77"/>
      <c r="K441" s="77"/>
      <c r="L441" s="77"/>
    </row>
    <row r="442" spans="10:13" x14ac:dyDescent="0.25">
      <c r="J442" s="77"/>
      <c r="K442" s="77"/>
      <c r="L442" s="77"/>
    </row>
    <row r="443" spans="10:13" x14ac:dyDescent="0.25">
      <c r="J443" s="77"/>
      <c r="K443" s="77"/>
      <c r="L443" s="77"/>
    </row>
    <row r="444" spans="10:13" x14ac:dyDescent="0.25">
      <c r="J444" s="77"/>
      <c r="K444" s="77"/>
      <c r="L444" s="77"/>
    </row>
    <row r="445" spans="10:13" x14ac:dyDescent="0.25">
      <c r="J445" s="77"/>
      <c r="K445" s="77"/>
      <c r="L445" s="77"/>
    </row>
    <row r="446" spans="10:13" x14ac:dyDescent="0.25">
      <c r="J446" s="77"/>
      <c r="K446" s="77"/>
      <c r="L446" s="77"/>
    </row>
    <row r="447" spans="10:13" x14ac:dyDescent="0.25">
      <c r="J447" s="77"/>
      <c r="K447" s="77"/>
      <c r="L447" s="77"/>
    </row>
    <row r="448" spans="10:13" x14ac:dyDescent="0.25">
      <c r="J448" s="77"/>
      <c r="K448" s="77"/>
      <c r="L448" s="77"/>
    </row>
    <row r="449" spans="10:12" x14ac:dyDescent="0.25">
      <c r="J449" s="77"/>
      <c r="K449" s="77"/>
      <c r="L449" s="77"/>
    </row>
    <row r="450" spans="10:12" x14ac:dyDescent="0.25">
      <c r="J450" s="77"/>
      <c r="K450" s="77"/>
      <c r="L450" s="77"/>
    </row>
    <row r="451" spans="10:12" x14ac:dyDescent="0.25">
      <c r="J451" s="77"/>
      <c r="K451" s="77"/>
      <c r="L451" s="77"/>
    </row>
    <row r="452" spans="10:12" x14ac:dyDescent="0.25">
      <c r="J452" s="77"/>
      <c r="K452" s="77"/>
      <c r="L452" s="77"/>
    </row>
    <row r="453" spans="10:12" x14ac:dyDescent="0.25">
      <c r="J453" s="77"/>
      <c r="K453" s="77"/>
      <c r="L453" s="77"/>
    </row>
    <row r="454" spans="10:12" x14ac:dyDescent="0.25">
      <c r="J454" s="77"/>
      <c r="K454" s="77"/>
      <c r="L454" s="77"/>
    </row>
    <row r="455" spans="10:12" x14ac:dyDescent="0.25">
      <c r="J455" s="77"/>
      <c r="K455" s="77"/>
      <c r="L455" s="77"/>
    </row>
    <row r="456" spans="10:12" x14ac:dyDescent="0.25">
      <c r="J456" s="77"/>
      <c r="K456" s="77"/>
      <c r="L456" s="77"/>
    </row>
    <row r="457" spans="10:12" x14ac:dyDescent="0.25">
      <c r="J457" s="77"/>
      <c r="K457" s="77"/>
      <c r="L457" s="77"/>
    </row>
    <row r="458" spans="10:12" x14ac:dyDescent="0.25">
      <c r="J458" s="77"/>
      <c r="K458" s="77"/>
      <c r="L458" s="77"/>
    </row>
    <row r="459" spans="10:12" x14ac:dyDescent="0.25">
      <c r="J459" s="77"/>
      <c r="K459" s="77"/>
      <c r="L459" s="77"/>
    </row>
    <row r="460" spans="10:12" x14ac:dyDescent="0.25">
      <c r="J460" s="77"/>
      <c r="K460" s="77"/>
      <c r="L460" s="77"/>
    </row>
    <row r="461" spans="10:12" x14ac:dyDescent="0.25">
      <c r="J461" s="77"/>
      <c r="K461" s="77"/>
      <c r="L461" s="77"/>
    </row>
    <row r="462" spans="10:12" x14ac:dyDescent="0.25">
      <c r="J462" s="77"/>
      <c r="K462" s="77"/>
      <c r="L462" s="77"/>
    </row>
    <row r="463" spans="10:12" x14ac:dyDescent="0.25">
      <c r="J463" s="77"/>
      <c r="K463" s="77"/>
      <c r="L463" s="77"/>
    </row>
    <row r="464" spans="10:12" x14ac:dyDescent="0.25">
      <c r="J464" s="77"/>
      <c r="K464" s="77"/>
      <c r="L464" s="77"/>
    </row>
    <row r="465" spans="10:12" x14ac:dyDescent="0.25">
      <c r="J465" s="77"/>
      <c r="K465" s="77"/>
      <c r="L465" s="77"/>
    </row>
    <row r="466" spans="10:12" x14ac:dyDescent="0.25">
      <c r="J466" s="77"/>
      <c r="K466" s="77"/>
      <c r="L466" s="77"/>
    </row>
    <row r="467" spans="10:12" x14ac:dyDescent="0.25">
      <c r="J467" s="77"/>
      <c r="K467" s="77"/>
      <c r="L467" s="77"/>
    </row>
    <row r="468" spans="10:12" x14ac:dyDescent="0.25">
      <c r="J468" s="77"/>
      <c r="K468" s="77"/>
      <c r="L468" s="77"/>
    </row>
    <row r="469" spans="10:12" x14ac:dyDescent="0.25">
      <c r="J469" s="77"/>
      <c r="K469" s="77"/>
      <c r="L469" s="77"/>
    </row>
    <row r="470" spans="10:12" x14ac:dyDescent="0.25">
      <c r="J470" s="77"/>
      <c r="K470" s="77"/>
      <c r="L470" s="77"/>
    </row>
    <row r="471" spans="10:12" x14ac:dyDescent="0.25">
      <c r="J471" s="77"/>
      <c r="K471" s="77"/>
      <c r="L471" s="77"/>
    </row>
    <row r="472" spans="10:12" x14ac:dyDescent="0.25">
      <c r="J472" s="77"/>
      <c r="K472" s="77"/>
      <c r="L472" s="77"/>
    </row>
    <row r="473" spans="10:12" x14ac:dyDescent="0.25">
      <c r="J473" s="77"/>
      <c r="K473" s="77"/>
      <c r="L473" s="77"/>
    </row>
    <row r="474" spans="10:12" x14ac:dyDescent="0.25">
      <c r="J474" s="77"/>
      <c r="K474" s="77"/>
      <c r="L474" s="77"/>
    </row>
    <row r="475" spans="10:12" x14ac:dyDescent="0.25">
      <c r="J475" s="77"/>
      <c r="K475" s="77"/>
      <c r="L475" s="77"/>
    </row>
    <row r="476" spans="10:12" x14ac:dyDescent="0.25">
      <c r="J476" s="77"/>
      <c r="K476" s="77"/>
      <c r="L476" s="77"/>
    </row>
    <row r="477" spans="10:12" x14ac:dyDescent="0.25">
      <c r="J477" s="77"/>
      <c r="K477" s="77"/>
      <c r="L477" s="77"/>
    </row>
    <row r="478" spans="10:12" x14ac:dyDescent="0.25">
      <c r="J478" s="77"/>
      <c r="K478" s="77"/>
      <c r="L478" s="77"/>
    </row>
    <row r="479" spans="10:12" x14ac:dyDescent="0.25">
      <c r="J479" s="77"/>
      <c r="K479" s="77"/>
      <c r="L479" s="77"/>
    </row>
    <row r="480" spans="10:12" x14ac:dyDescent="0.25">
      <c r="J480" s="77"/>
      <c r="K480" s="77"/>
      <c r="L480" s="77"/>
    </row>
    <row r="481" spans="10:12" x14ac:dyDescent="0.25">
      <c r="J481" s="77"/>
      <c r="K481" s="77"/>
      <c r="L481" s="77"/>
    </row>
    <row r="482" spans="10:12" x14ac:dyDescent="0.25">
      <c r="J482" s="77"/>
      <c r="K482" s="77"/>
      <c r="L482" s="77"/>
    </row>
    <row r="483" spans="10:12" x14ac:dyDescent="0.25">
      <c r="J483" s="77"/>
      <c r="K483" s="77"/>
      <c r="L483" s="77"/>
    </row>
    <row r="484" spans="10:12" x14ac:dyDescent="0.25">
      <c r="J484" s="77"/>
      <c r="K484" s="77"/>
      <c r="L484" s="77"/>
    </row>
    <row r="485" spans="10:12" x14ac:dyDescent="0.25">
      <c r="J485" s="77"/>
      <c r="K485" s="77"/>
      <c r="L485" s="77"/>
    </row>
    <row r="486" spans="10:12" x14ac:dyDescent="0.25">
      <c r="J486" s="77"/>
      <c r="K486" s="77"/>
      <c r="L486" s="77"/>
    </row>
    <row r="487" spans="10:12" x14ac:dyDescent="0.25">
      <c r="J487" s="77"/>
      <c r="K487" s="77"/>
      <c r="L487" s="77"/>
    </row>
    <row r="488" spans="10:12" x14ac:dyDescent="0.25">
      <c r="J488" s="77"/>
      <c r="K488" s="77"/>
      <c r="L488" s="77"/>
    </row>
    <row r="489" spans="10:12" x14ac:dyDescent="0.25">
      <c r="J489" s="77"/>
      <c r="K489" s="77"/>
      <c r="L489" s="77"/>
    </row>
    <row r="490" spans="10:12" x14ac:dyDescent="0.25">
      <c r="J490" s="77"/>
      <c r="K490" s="77"/>
      <c r="L490" s="77"/>
    </row>
    <row r="491" spans="10:12" x14ac:dyDescent="0.25">
      <c r="J491" s="77"/>
      <c r="K491" s="77"/>
      <c r="L491" s="77"/>
    </row>
    <row r="492" spans="10:12" x14ac:dyDescent="0.25">
      <c r="J492" s="77"/>
      <c r="K492" s="77"/>
      <c r="L492" s="77"/>
    </row>
    <row r="493" spans="10:12" x14ac:dyDescent="0.25">
      <c r="J493" s="77"/>
      <c r="K493" s="77"/>
      <c r="L493" s="77"/>
    </row>
    <row r="494" spans="10:12" x14ac:dyDescent="0.25">
      <c r="J494" s="77"/>
      <c r="K494" s="77"/>
      <c r="L494" s="77"/>
    </row>
    <row r="495" spans="10:12" x14ac:dyDescent="0.25">
      <c r="J495" s="77"/>
      <c r="K495" s="77"/>
      <c r="L495" s="77"/>
    </row>
    <row r="496" spans="10:12" x14ac:dyDescent="0.25">
      <c r="J496" s="77"/>
      <c r="K496" s="77"/>
      <c r="L496" s="77"/>
    </row>
    <row r="497" spans="10:12" x14ac:dyDescent="0.25">
      <c r="J497" s="77"/>
      <c r="K497" s="77"/>
      <c r="L497" s="77"/>
    </row>
    <row r="498" spans="10:12" x14ac:dyDescent="0.25">
      <c r="J498" s="77"/>
      <c r="K498" s="77"/>
      <c r="L498" s="77"/>
    </row>
    <row r="499" spans="10:12" x14ac:dyDescent="0.25">
      <c r="J499" s="77"/>
      <c r="K499" s="77"/>
      <c r="L499" s="77"/>
    </row>
    <row r="500" spans="10:12" x14ac:dyDescent="0.25">
      <c r="J500" s="77"/>
      <c r="K500" s="77"/>
      <c r="L500" s="77"/>
    </row>
    <row r="501" spans="10:12" x14ac:dyDescent="0.25">
      <c r="J501" s="77"/>
      <c r="K501" s="77"/>
      <c r="L501" s="77"/>
    </row>
    <row r="502" spans="10:12" x14ac:dyDescent="0.25">
      <c r="J502" s="77"/>
      <c r="K502" s="77"/>
      <c r="L502" s="77"/>
    </row>
    <row r="503" spans="10:12" x14ac:dyDescent="0.25">
      <c r="J503" s="77"/>
      <c r="K503" s="77"/>
      <c r="L503" s="77"/>
    </row>
    <row r="504" spans="10:12" x14ac:dyDescent="0.25">
      <c r="J504" s="77"/>
      <c r="K504" s="77"/>
      <c r="L504" s="77"/>
    </row>
    <row r="505" spans="10:12" x14ac:dyDescent="0.25">
      <c r="J505" s="77"/>
      <c r="K505" s="77"/>
      <c r="L505" s="77"/>
    </row>
    <row r="506" spans="10:12" x14ac:dyDescent="0.25">
      <c r="J506" s="77"/>
      <c r="K506" s="77"/>
      <c r="L506" s="77"/>
    </row>
    <row r="507" spans="10:12" x14ac:dyDescent="0.25">
      <c r="J507" s="77"/>
      <c r="K507" s="77"/>
      <c r="L507" s="77"/>
    </row>
    <row r="508" spans="10:12" x14ac:dyDescent="0.25">
      <c r="J508" s="77"/>
      <c r="K508" s="77"/>
      <c r="L508" s="77"/>
    </row>
    <row r="509" spans="10:12" x14ac:dyDescent="0.25">
      <c r="J509" s="77"/>
      <c r="K509" s="77"/>
      <c r="L509" s="77"/>
    </row>
    <row r="510" spans="10:12" x14ac:dyDescent="0.25">
      <c r="J510" s="77"/>
      <c r="K510" s="77"/>
      <c r="L510" s="77"/>
    </row>
    <row r="511" spans="10:12" x14ac:dyDescent="0.25">
      <c r="J511" s="77"/>
      <c r="K511" s="77"/>
      <c r="L511" s="77"/>
    </row>
    <row r="512" spans="10:12" x14ac:dyDescent="0.25">
      <c r="J512" s="77"/>
      <c r="K512" s="77"/>
      <c r="L512" s="77"/>
    </row>
    <row r="513" spans="10:12" x14ac:dyDescent="0.25">
      <c r="J513" s="77"/>
      <c r="K513" s="77"/>
      <c r="L513" s="77"/>
    </row>
    <row r="514" spans="10:12" x14ac:dyDescent="0.25">
      <c r="J514" s="77"/>
      <c r="K514" s="77"/>
      <c r="L514" s="77"/>
    </row>
    <row r="515" spans="10:12" x14ac:dyDescent="0.25">
      <c r="J515" s="77"/>
      <c r="K515" s="77"/>
      <c r="L515" s="77"/>
    </row>
    <row r="516" spans="10:12" x14ac:dyDescent="0.25">
      <c r="J516" s="77"/>
      <c r="K516" s="77"/>
      <c r="L516" s="77"/>
    </row>
    <row r="517" spans="10:12" x14ac:dyDescent="0.25">
      <c r="J517" s="77"/>
      <c r="K517" s="77"/>
      <c r="L517" s="77"/>
    </row>
    <row r="518" spans="10:12" x14ac:dyDescent="0.25">
      <c r="J518" s="77"/>
      <c r="K518" s="77"/>
      <c r="L518" s="77"/>
    </row>
    <row r="519" spans="10:12" x14ac:dyDescent="0.25">
      <c r="J519" s="77"/>
      <c r="K519" s="77"/>
      <c r="L519" s="77"/>
    </row>
    <row r="520" spans="10:12" x14ac:dyDescent="0.25">
      <c r="J520" s="77"/>
      <c r="K520" s="77"/>
      <c r="L520" s="77"/>
    </row>
    <row r="521" spans="10:12" x14ac:dyDescent="0.25">
      <c r="J521" s="77"/>
      <c r="K521" s="77"/>
      <c r="L521" s="77"/>
    </row>
    <row r="522" spans="10:12" x14ac:dyDescent="0.25">
      <c r="J522" s="77"/>
      <c r="K522" s="77"/>
      <c r="L522" s="77"/>
    </row>
    <row r="523" spans="10:12" x14ac:dyDescent="0.25">
      <c r="J523" s="77"/>
      <c r="K523" s="77"/>
      <c r="L523" s="77"/>
    </row>
    <row r="524" spans="10:12" x14ac:dyDescent="0.25">
      <c r="J524" s="77"/>
      <c r="K524" s="77"/>
      <c r="L524" s="77"/>
    </row>
    <row r="525" spans="10:12" x14ac:dyDescent="0.25">
      <c r="J525" s="77"/>
      <c r="K525" s="77"/>
      <c r="L525" s="77"/>
    </row>
    <row r="526" spans="10:12" x14ac:dyDescent="0.25">
      <c r="J526" s="77"/>
      <c r="K526" s="77"/>
      <c r="L526" s="77"/>
    </row>
    <row r="527" spans="10:12" x14ac:dyDescent="0.25">
      <c r="J527" s="77"/>
      <c r="K527" s="77"/>
      <c r="L527" s="77"/>
    </row>
    <row r="528" spans="10:12" x14ac:dyDescent="0.25">
      <c r="J528" s="77"/>
      <c r="K528" s="77"/>
      <c r="L528" s="77"/>
    </row>
    <row r="529" spans="10:12" x14ac:dyDescent="0.25">
      <c r="J529" s="77"/>
      <c r="K529" s="77"/>
      <c r="L529" s="77"/>
    </row>
    <row r="530" spans="10:12" x14ac:dyDescent="0.25">
      <c r="J530" s="77"/>
      <c r="K530" s="77"/>
      <c r="L530" s="77"/>
    </row>
    <row r="531" spans="10:12" x14ac:dyDescent="0.25">
      <c r="J531" s="77"/>
      <c r="K531" s="77"/>
      <c r="L531" s="77"/>
    </row>
    <row r="532" spans="10:12" x14ac:dyDescent="0.25">
      <c r="J532" s="77"/>
      <c r="K532" s="77"/>
      <c r="L532" s="77"/>
    </row>
    <row r="533" spans="10:12" x14ac:dyDescent="0.25">
      <c r="J533" s="77"/>
      <c r="K533" s="77"/>
      <c r="L533" s="77"/>
    </row>
    <row r="534" spans="10:12" x14ac:dyDescent="0.25">
      <c r="J534" s="77"/>
      <c r="K534" s="77"/>
      <c r="L534" s="77"/>
    </row>
    <row r="535" spans="10:12" x14ac:dyDescent="0.25">
      <c r="J535" s="77"/>
      <c r="K535" s="77"/>
      <c r="L535" s="77"/>
    </row>
    <row r="536" spans="10:12" x14ac:dyDescent="0.25">
      <c r="J536" s="77"/>
      <c r="K536" s="77"/>
      <c r="L536" s="77"/>
    </row>
    <row r="537" spans="10:12" x14ac:dyDescent="0.25">
      <c r="J537" s="77"/>
      <c r="K537" s="77"/>
      <c r="L537" s="77"/>
    </row>
    <row r="538" spans="10:12" x14ac:dyDescent="0.25">
      <c r="J538" s="77"/>
      <c r="K538" s="77"/>
      <c r="L538" s="77"/>
    </row>
    <row r="539" spans="10:12" x14ac:dyDescent="0.25">
      <c r="J539" s="77"/>
      <c r="K539" s="77"/>
      <c r="L539" s="77"/>
    </row>
    <row r="540" spans="10:12" x14ac:dyDescent="0.25">
      <c r="J540" s="77"/>
      <c r="K540" s="77"/>
      <c r="L540" s="77"/>
    </row>
    <row r="541" spans="10:12" x14ac:dyDescent="0.25">
      <c r="J541" s="77"/>
      <c r="K541" s="77"/>
      <c r="L541" s="77"/>
    </row>
    <row r="542" spans="10:12" x14ac:dyDescent="0.25">
      <c r="J542" s="77"/>
      <c r="K542" s="77"/>
      <c r="L542" s="77"/>
    </row>
    <row r="543" spans="10:12" x14ac:dyDescent="0.25">
      <c r="J543" s="77"/>
      <c r="K543" s="77"/>
      <c r="L543" s="77"/>
    </row>
    <row r="544" spans="10:12" x14ac:dyDescent="0.25">
      <c r="J544" s="77"/>
      <c r="K544" s="77"/>
      <c r="L544" s="77"/>
    </row>
    <row r="545" spans="10:12" x14ac:dyDescent="0.25">
      <c r="J545" s="77"/>
      <c r="K545" s="77"/>
      <c r="L545" s="77"/>
    </row>
    <row r="546" spans="10:12" x14ac:dyDescent="0.25">
      <c r="J546" s="77"/>
      <c r="K546" s="77"/>
      <c r="L546" s="77"/>
    </row>
    <row r="547" spans="10:12" x14ac:dyDescent="0.25">
      <c r="J547" s="77"/>
      <c r="K547" s="77"/>
      <c r="L547" s="77"/>
    </row>
    <row r="548" spans="10:12" x14ac:dyDescent="0.25">
      <c r="J548" s="77"/>
      <c r="K548" s="77"/>
      <c r="L548" s="77"/>
    </row>
    <row r="549" spans="10:12" x14ac:dyDescent="0.25">
      <c r="J549" s="77"/>
      <c r="K549" s="77"/>
      <c r="L549" s="77"/>
    </row>
    <row r="550" spans="10:12" x14ac:dyDescent="0.25">
      <c r="J550" s="77"/>
      <c r="K550" s="77"/>
      <c r="L550" s="77"/>
    </row>
    <row r="551" spans="10:12" x14ac:dyDescent="0.25">
      <c r="J551" s="77"/>
      <c r="K551" s="77"/>
      <c r="L551" s="77"/>
    </row>
    <row r="552" spans="10:12" x14ac:dyDescent="0.25">
      <c r="J552" s="77"/>
      <c r="K552" s="77"/>
      <c r="L552" s="77"/>
    </row>
    <row r="553" spans="10:12" x14ac:dyDescent="0.25">
      <c r="J553" s="77"/>
      <c r="K553" s="77"/>
      <c r="L553" s="77"/>
    </row>
    <row r="554" spans="10:12" x14ac:dyDescent="0.25">
      <c r="J554" s="77"/>
      <c r="K554" s="77"/>
      <c r="L554" s="77"/>
    </row>
    <row r="555" spans="10:12" x14ac:dyDescent="0.25">
      <c r="J555" s="77"/>
      <c r="K555" s="77"/>
      <c r="L555" s="77"/>
    </row>
    <row r="556" spans="10:12" x14ac:dyDescent="0.25">
      <c r="J556" s="77"/>
      <c r="K556" s="77"/>
      <c r="L556" s="77"/>
    </row>
    <row r="557" spans="10:12" x14ac:dyDescent="0.25">
      <c r="J557" s="77"/>
      <c r="K557" s="77"/>
      <c r="L557" s="77"/>
    </row>
    <row r="558" spans="10:12" x14ac:dyDescent="0.25">
      <c r="J558" s="77"/>
      <c r="K558" s="77"/>
      <c r="L558" s="77"/>
    </row>
    <row r="559" spans="10:12" x14ac:dyDescent="0.25">
      <c r="J559" s="77"/>
      <c r="K559" s="77"/>
      <c r="L559" s="77"/>
    </row>
    <row r="560" spans="10:12" x14ac:dyDescent="0.25">
      <c r="J560" s="77"/>
      <c r="K560" s="77"/>
      <c r="L560" s="77"/>
    </row>
    <row r="561" spans="10:12" x14ac:dyDescent="0.25">
      <c r="J561" s="77"/>
      <c r="K561" s="77"/>
      <c r="L561" s="77"/>
    </row>
    <row r="562" spans="10:12" x14ac:dyDescent="0.25">
      <c r="J562" s="77"/>
      <c r="K562" s="77"/>
      <c r="L562" s="77"/>
    </row>
    <row r="563" spans="10:12" x14ac:dyDescent="0.25">
      <c r="J563" s="77"/>
      <c r="K563" s="77"/>
      <c r="L563" s="77"/>
    </row>
    <row r="564" spans="10:12" x14ac:dyDescent="0.25">
      <c r="J564" s="77"/>
      <c r="K564" s="77"/>
      <c r="L564" s="77"/>
    </row>
    <row r="565" spans="10:12" x14ac:dyDescent="0.25">
      <c r="J565" s="77"/>
      <c r="K565" s="77"/>
      <c r="L565" s="77"/>
    </row>
    <row r="566" spans="10:12" x14ac:dyDescent="0.25">
      <c r="J566" s="77"/>
      <c r="K566" s="77"/>
      <c r="L566" s="77"/>
    </row>
    <row r="567" spans="10:12" x14ac:dyDescent="0.25">
      <c r="J567" s="77"/>
      <c r="K567" s="77"/>
      <c r="L567" s="77"/>
    </row>
    <row r="568" spans="10:12" x14ac:dyDescent="0.25">
      <c r="J568" s="77"/>
      <c r="K568" s="77"/>
      <c r="L568" s="77"/>
    </row>
    <row r="569" spans="10:12" x14ac:dyDescent="0.25">
      <c r="J569" s="77"/>
      <c r="K569" s="77"/>
      <c r="L569" s="77"/>
    </row>
    <row r="570" spans="10:12" x14ac:dyDescent="0.25">
      <c r="J570" s="77"/>
      <c r="K570" s="77"/>
      <c r="L570" s="77"/>
    </row>
    <row r="571" spans="10:12" x14ac:dyDescent="0.25">
      <c r="J571" s="77"/>
      <c r="K571" s="77"/>
      <c r="L571" s="77"/>
    </row>
    <row r="572" spans="10:12" x14ac:dyDescent="0.25">
      <c r="J572" s="77"/>
      <c r="K572" s="77"/>
      <c r="L572" s="77"/>
    </row>
    <row r="573" spans="10:12" x14ac:dyDescent="0.25">
      <c r="J573" s="77"/>
      <c r="K573" s="77"/>
      <c r="L573" s="77"/>
    </row>
    <row r="574" spans="10:12" x14ac:dyDescent="0.25">
      <c r="J574" s="77"/>
      <c r="K574" s="77"/>
      <c r="L574" s="77"/>
    </row>
    <row r="575" spans="10:12" x14ac:dyDescent="0.25">
      <c r="J575" s="77"/>
      <c r="K575" s="77"/>
      <c r="L575" s="77"/>
    </row>
    <row r="576" spans="10:12" x14ac:dyDescent="0.25">
      <c r="J576" s="77"/>
      <c r="K576" s="77"/>
      <c r="L576" s="77"/>
    </row>
    <row r="577" spans="10:12" x14ac:dyDescent="0.25">
      <c r="J577" s="77"/>
      <c r="K577" s="77"/>
      <c r="L577" s="77"/>
    </row>
    <row r="578" spans="10:12" x14ac:dyDescent="0.25">
      <c r="J578" s="77"/>
      <c r="K578" s="77"/>
      <c r="L578" s="77"/>
    </row>
    <row r="579" spans="10:12" x14ac:dyDescent="0.25">
      <c r="J579" s="77"/>
      <c r="K579" s="77"/>
      <c r="L579" s="77"/>
    </row>
    <row r="580" spans="10:12" x14ac:dyDescent="0.25">
      <c r="J580" s="77"/>
      <c r="K580" s="77"/>
      <c r="L580" s="77"/>
    </row>
    <row r="581" spans="10:12" x14ac:dyDescent="0.25">
      <c r="J581" s="77"/>
      <c r="K581" s="77"/>
      <c r="L581" s="77"/>
    </row>
    <row r="582" spans="10:12" x14ac:dyDescent="0.25">
      <c r="J582" s="77"/>
      <c r="K582" s="77"/>
      <c r="L582" s="77"/>
    </row>
    <row r="583" spans="10:12" x14ac:dyDescent="0.25">
      <c r="J583" s="77"/>
      <c r="K583" s="77"/>
      <c r="L583" s="77"/>
    </row>
    <row r="584" spans="10:12" x14ac:dyDescent="0.25">
      <c r="J584" s="77"/>
      <c r="K584" s="77"/>
      <c r="L584" s="77"/>
    </row>
    <row r="585" spans="10:12" x14ac:dyDescent="0.25">
      <c r="J585" s="77"/>
      <c r="K585" s="77"/>
      <c r="L585" s="77"/>
    </row>
    <row r="586" spans="10:12" x14ac:dyDescent="0.25">
      <c r="J586" s="77"/>
      <c r="K586" s="77"/>
      <c r="L586" s="77"/>
    </row>
    <row r="587" spans="10:12" x14ac:dyDescent="0.25">
      <c r="J587" s="77"/>
      <c r="K587" s="77"/>
      <c r="L587" s="77"/>
    </row>
    <row r="588" spans="10:12" x14ac:dyDescent="0.25">
      <c r="J588" s="77"/>
      <c r="K588" s="77"/>
      <c r="L588" s="77"/>
    </row>
    <row r="589" spans="10:12" x14ac:dyDescent="0.25">
      <c r="J589" s="77"/>
      <c r="K589" s="77"/>
      <c r="L589" s="77"/>
    </row>
    <row r="590" spans="10:12" x14ac:dyDescent="0.25">
      <c r="J590" s="77"/>
      <c r="K590" s="77"/>
      <c r="L590" s="77"/>
    </row>
    <row r="591" spans="10:12" x14ac:dyDescent="0.25">
      <c r="J591" s="77"/>
      <c r="K591" s="77"/>
      <c r="L591" s="77"/>
    </row>
    <row r="592" spans="10:12" x14ac:dyDescent="0.25">
      <c r="J592" s="77"/>
      <c r="K592" s="77"/>
      <c r="L592" s="77"/>
    </row>
    <row r="593" spans="10:12" x14ac:dyDescent="0.25">
      <c r="J593" s="77"/>
      <c r="K593" s="77"/>
      <c r="L593" s="77"/>
    </row>
    <row r="594" spans="10:12" x14ac:dyDescent="0.25">
      <c r="J594" s="77"/>
      <c r="K594" s="77"/>
      <c r="L594" s="77"/>
    </row>
    <row r="595" spans="10:12" x14ac:dyDescent="0.25">
      <c r="J595" s="77"/>
      <c r="K595" s="77"/>
      <c r="L595" s="77"/>
    </row>
    <row r="596" spans="10:12" x14ac:dyDescent="0.25">
      <c r="J596" s="77"/>
      <c r="K596" s="77"/>
      <c r="L596" s="77"/>
    </row>
    <row r="597" spans="10:12" x14ac:dyDescent="0.25">
      <c r="J597" s="77"/>
      <c r="K597" s="77"/>
      <c r="L597" s="77"/>
    </row>
    <row r="598" spans="10:12" x14ac:dyDescent="0.25">
      <c r="J598" s="77"/>
      <c r="K598" s="77"/>
      <c r="L598" s="77"/>
    </row>
    <row r="599" spans="10:12" x14ac:dyDescent="0.25">
      <c r="J599" s="77"/>
      <c r="K599" s="77"/>
      <c r="L599" s="77"/>
    </row>
    <row r="600" spans="10:12" x14ac:dyDescent="0.25">
      <c r="J600" s="77"/>
      <c r="K600" s="77"/>
      <c r="L600" s="77"/>
    </row>
    <row r="601" spans="10:12" x14ac:dyDescent="0.25">
      <c r="J601" s="77"/>
      <c r="K601" s="77"/>
      <c r="L601" s="77"/>
    </row>
    <row r="602" spans="10:12" x14ac:dyDescent="0.25">
      <c r="J602" s="77"/>
      <c r="K602" s="77"/>
      <c r="L602" s="77"/>
    </row>
    <row r="603" spans="10:12" x14ac:dyDescent="0.25">
      <c r="J603" s="77"/>
      <c r="K603" s="77"/>
      <c r="L603" s="77"/>
    </row>
    <row r="604" spans="10:12" x14ac:dyDescent="0.25">
      <c r="J604" s="77"/>
      <c r="K604" s="77"/>
      <c r="L604" s="77"/>
    </row>
    <row r="605" spans="10:12" x14ac:dyDescent="0.25">
      <c r="J605" s="77"/>
      <c r="K605" s="77"/>
      <c r="L605" s="77"/>
    </row>
    <row r="606" spans="10:12" x14ac:dyDescent="0.25">
      <c r="J606" s="77"/>
      <c r="K606" s="77"/>
      <c r="L606" s="77"/>
    </row>
    <row r="607" spans="10:12" x14ac:dyDescent="0.25">
      <c r="J607" s="77"/>
      <c r="K607" s="77"/>
      <c r="L607" s="77"/>
    </row>
    <row r="608" spans="10:12" x14ac:dyDescent="0.25">
      <c r="J608" s="77"/>
      <c r="K608" s="77"/>
      <c r="L608" s="77"/>
    </row>
    <row r="609" spans="10:12" x14ac:dyDescent="0.25">
      <c r="J609" s="77"/>
      <c r="K609" s="77"/>
      <c r="L609" s="77"/>
    </row>
    <row r="610" spans="10:12" x14ac:dyDescent="0.25">
      <c r="J610" s="77"/>
      <c r="K610" s="77"/>
      <c r="L610" s="77"/>
    </row>
    <row r="611" spans="10:12" x14ac:dyDescent="0.25">
      <c r="J611" s="77"/>
      <c r="K611" s="77"/>
      <c r="L611" s="77"/>
    </row>
    <row r="612" spans="10:12" x14ac:dyDescent="0.25">
      <c r="J612" s="77"/>
      <c r="K612" s="77"/>
      <c r="L612" s="77"/>
    </row>
    <row r="613" spans="10:12" x14ac:dyDescent="0.25">
      <c r="J613" s="77"/>
      <c r="K613" s="77"/>
      <c r="L613" s="77"/>
    </row>
    <row r="614" spans="10:12" x14ac:dyDescent="0.25">
      <c r="J614" s="77"/>
      <c r="K614" s="77"/>
      <c r="L614" s="77"/>
    </row>
    <row r="615" spans="10:12" x14ac:dyDescent="0.25">
      <c r="J615" s="77"/>
      <c r="K615" s="77"/>
      <c r="L615" s="77"/>
    </row>
    <row r="616" spans="10:12" x14ac:dyDescent="0.25">
      <c r="J616" s="77"/>
      <c r="K616" s="77"/>
      <c r="L616" s="77"/>
    </row>
    <row r="617" spans="10:12" x14ac:dyDescent="0.25">
      <c r="J617" s="77"/>
      <c r="K617" s="77"/>
      <c r="L617" s="77"/>
    </row>
    <row r="618" spans="10:12" x14ac:dyDescent="0.25">
      <c r="J618" s="77"/>
      <c r="K618" s="77"/>
      <c r="L618" s="77"/>
    </row>
    <row r="619" spans="10:12" x14ac:dyDescent="0.25">
      <c r="J619" s="77"/>
      <c r="K619" s="77"/>
      <c r="L619" s="77"/>
    </row>
    <row r="620" spans="10:12" x14ac:dyDescent="0.25">
      <c r="J620" s="77"/>
      <c r="K620" s="77"/>
      <c r="L620" s="77"/>
    </row>
    <row r="621" spans="10:12" x14ac:dyDescent="0.25">
      <c r="J621" s="77"/>
      <c r="K621" s="77"/>
      <c r="L621" s="77"/>
    </row>
    <row r="622" spans="10:12" x14ac:dyDescent="0.25">
      <c r="J622" s="77"/>
      <c r="K622" s="77"/>
      <c r="L622" s="77"/>
    </row>
    <row r="623" spans="10:12" x14ac:dyDescent="0.25">
      <c r="J623" s="77"/>
      <c r="K623" s="77"/>
      <c r="L623" s="77"/>
    </row>
    <row r="624" spans="10:12" x14ac:dyDescent="0.25">
      <c r="J624" s="77"/>
      <c r="K624" s="77"/>
      <c r="L624" s="77"/>
    </row>
    <row r="625" spans="10:12" x14ac:dyDescent="0.25">
      <c r="J625" s="77"/>
      <c r="K625" s="77"/>
      <c r="L625" s="77"/>
    </row>
    <row r="626" spans="10:12" x14ac:dyDescent="0.25">
      <c r="J626" s="77"/>
      <c r="K626" s="77"/>
      <c r="L626" s="77"/>
    </row>
    <row r="627" spans="10:12" x14ac:dyDescent="0.25">
      <c r="J627" s="77"/>
      <c r="K627" s="77"/>
      <c r="L627" s="77"/>
    </row>
    <row r="628" spans="10:12" x14ac:dyDescent="0.25">
      <c r="J628" s="77"/>
      <c r="K628" s="77"/>
      <c r="L628" s="77"/>
    </row>
    <row r="629" spans="10:12" x14ac:dyDescent="0.25">
      <c r="J629" s="77"/>
      <c r="K629" s="77"/>
      <c r="L629" s="77"/>
    </row>
    <row r="630" spans="10:12" x14ac:dyDescent="0.25">
      <c r="J630" s="77"/>
      <c r="K630" s="77"/>
      <c r="L630" s="77"/>
    </row>
    <row r="631" spans="10:12" x14ac:dyDescent="0.25">
      <c r="J631" s="77"/>
      <c r="K631" s="77"/>
      <c r="L631" s="77"/>
    </row>
    <row r="632" spans="10:12" x14ac:dyDescent="0.25">
      <c r="J632" s="77"/>
      <c r="K632" s="77"/>
      <c r="L632" s="77"/>
    </row>
    <row r="633" spans="10:12" x14ac:dyDescent="0.25">
      <c r="J633" s="77"/>
      <c r="K633" s="77"/>
      <c r="L633" s="77"/>
    </row>
    <row r="634" spans="10:12" x14ac:dyDescent="0.25">
      <c r="J634" s="77"/>
      <c r="K634" s="77"/>
      <c r="L634" s="77"/>
    </row>
    <row r="635" spans="10:12" x14ac:dyDescent="0.25">
      <c r="J635" s="77"/>
      <c r="K635" s="77"/>
      <c r="L635" s="77"/>
    </row>
    <row r="636" spans="10:12" x14ac:dyDescent="0.25">
      <c r="J636" s="77"/>
      <c r="K636" s="77"/>
      <c r="L636" s="77"/>
    </row>
    <row r="637" spans="10:12" x14ac:dyDescent="0.25">
      <c r="J637" s="77"/>
      <c r="K637" s="77"/>
      <c r="L637" s="77"/>
    </row>
    <row r="638" spans="10:12" x14ac:dyDescent="0.25">
      <c r="J638" s="77"/>
      <c r="K638" s="77"/>
      <c r="L638" s="77"/>
    </row>
    <row r="639" spans="10:12" x14ac:dyDescent="0.25">
      <c r="J639" s="77"/>
      <c r="K639" s="77"/>
      <c r="L639" s="77"/>
    </row>
    <row r="640" spans="10:12" x14ac:dyDescent="0.25">
      <c r="J640" s="77"/>
      <c r="K640" s="77"/>
      <c r="L640" s="77"/>
    </row>
    <row r="641" spans="10:12" x14ac:dyDescent="0.25">
      <c r="J641" s="77"/>
      <c r="K641" s="77"/>
      <c r="L641" s="77"/>
    </row>
    <row r="642" spans="10:12" x14ac:dyDescent="0.25">
      <c r="J642" s="77"/>
      <c r="K642" s="77"/>
      <c r="L642" s="77"/>
    </row>
    <row r="643" spans="10:12" x14ac:dyDescent="0.25">
      <c r="J643" s="77"/>
      <c r="K643" s="77"/>
      <c r="L643" s="77"/>
    </row>
    <row r="644" spans="10:12" x14ac:dyDescent="0.25">
      <c r="J644" s="77"/>
      <c r="K644" s="77"/>
      <c r="L644" s="77"/>
    </row>
    <row r="645" spans="10:12" x14ac:dyDescent="0.25">
      <c r="J645" s="77"/>
      <c r="K645" s="77"/>
      <c r="L645" s="77"/>
    </row>
    <row r="646" spans="10:12" x14ac:dyDescent="0.25">
      <c r="J646" s="77"/>
      <c r="K646" s="77"/>
      <c r="L646" s="77"/>
    </row>
    <row r="647" spans="10:12" x14ac:dyDescent="0.25">
      <c r="J647" s="77"/>
      <c r="K647" s="77"/>
      <c r="L647" s="77"/>
    </row>
    <row r="648" spans="10:12" x14ac:dyDescent="0.25">
      <c r="J648" s="77"/>
      <c r="K648" s="77"/>
      <c r="L648" s="77"/>
    </row>
    <row r="649" spans="10:12" x14ac:dyDescent="0.25">
      <c r="J649" s="77"/>
      <c r="K649" s="77"/>
      <c r="L649" s="77"/>
    </row>
    <row r="650" spans="10:12" x14ac:dyDescent="0.25">
      <c r="J650" s="77"/>
      <c r="K650" s="77"/>
      <c r="L650" s="77"/>
    </row>
    <row r="651" spans="10:12" x14ac:dyDescent="0.25">
      <c r="J651" s="77"/>
      <c r="K651" s="77"/>
      <c r="L651" s="77"/>
    </row>
    <row r="652" spans="10:12" x14ac:dyDescent="0.25">
      <c r="J652" s="77"/>
      <c r="K652" s="77"/>
      <c r="L652" s="77"/>
    </row>
    <row r="653" spans="10:12" x14ac:dyDescent="0.25">
      <c r="J653" s="77"/>
      <c r="K653" s="77"/>
      <c r="L653" s="77"/>
    </row>
    <row r="654" spans="10:12" x14ac:dyDescent="0.25">
      <c r="J654" s="77"/>
      <c r="K654" s="77"/>
      <c r="L654" s="77"/>
    </row>
    <row r="655" spans="10:12" x14ac:dyDescent="0.25">
      <c r="J655" s="77"/>
      <c r="K655" s="77"/>
      <c r="L655" s="77"/>
    </row>
    <row r="656" spans="10:12" x14ac:dyDescent="0.25">
      <c r="J656" s="77"/>
      <c r="K656" s="77"/>
      <c r="L656" s="77"/>
    </row>
    <row r="657" spans="10:12" x14ac:dyDescent="0.25">
      <c r="J657" s="77"/>
      <c r="K657" s="77"/>
      <c r="L657" s="77"/>
    </row>
    <row r="658" spans="10:12" x14ac:dyDescent="0.25">
      <c r="J658" s="77"/>
      <c r="K658" s="77"/>
      <c r="L658" s="77"/>
    </row>
    <row r="659" spans="10:12" x14ac:dyDescent="0.25">
      <c r="J659" s="77"/>
      <c r="K659" s="77"/>
      <c r="L659" s="77"/>
    </row>
    <row r="660" spans="10:12" x14ac:dyDescent="0.25">
      <c r="J660" s="77"/>
      <c r="K660" s="77"/>
      <c r="L660" s="77"/>
    </row>
    <row r="661" spans="10:12" x14ac:dyDescent="0.25">
      <c r="J661" s="77"/>
      <c r="K661" s="77"/>
      <c r="L661" s="77"/>
    </row>
    <row r="662" spans="10:12" x14ac:dyDescent="0.25">
      <c r="J662" s="77"/>
      <c r="K662" s="77"/>
      <c r="L662" s="77"/>
    </row>
    <row r="663" spans="10:12" x14ac:dyDescent="0.25">
      <c r="J663" s="77"/>
      <c r="K663" s="77"/>
      <c r="L663" s="77"/>
    </row>
    <row r="664" spans="10:12" x14ac:dyDescent="0.25">
      <c r="J664" s="77"/>
      <c r="K664" s="77"/>
      <c r="L664" s="77"/>
    </row>
    <row r="665" spans="10:12" x14ac:dyDescent="0.25">
      <c r="J665" s="77"/>
      <c r="K665" s="77"/>
      <c r="L665" s="77"/>
    </row>
    <row r="666" spans="10:12" x14ac:dyDescent="0.25">
      <c r="J666" s="77"/>
      <c r="K666" s="77"/>
      <c r="L666" s="77"/>
    </row>
    <row r="667" spans="10:12" x14ac:dyDescent="0.25">
      <c r="J667" s="77"/>
      <c r="K667" s="77"/>
      <c r="L667" s="77"/>
    </row>
    <row r="668" spans="10:12" x14ac:dyDescent="0.25">
      <c r="J668" s="77"/>
      <c r="K668" s="77"/>
      <c r="L668" s="77"/>
    </row>
    <row r="669" spans="10:12" x14ac:dyDescent="0.25">
      <c r="J669" s="77"/>
      <c r="K669" s="77"/>
      <c r="L669" s="77"/>
    </row>
    <row r="670" spans="10:12" x14ac:dyDescent="0.25">
      <c r="J670" s="77"/>
      <c r="K670" s="77"/>
      <c r="L670" s="77"/>
    </row>
    <row r="671" spans="10:12" x14ac:dyDescent="0.25">
      <c r="J671" s="77"/>
      <c r="K671" s="77"/>
      <c r="L671" s="77"/>
    </row>
    <row r="672" spans="10:12" x14ac:dyDescent="0.25">
      <c r="J672" s="77"/>
      <c r="K672" s="77"/>
      <c r="L672" s="77"/>
    </row>
    <row r="673" spans="10:12" x14ac:dyDescent="0.25">
      <c r="J673" s="77"/>
      <c r="K673" s="77"/>
      <c r="L673" s="77"/>
    </row>
    <row r="674" spans="10:12" x14ac:dyDescent="0.25">
      <c r="J674" s="77"/>
      <c r="K674" s="77"/>
      <c r="L674" s="77"/>
    </row>
    <row r="675" spans="10:12" x14ac:dyDescent="0.25">
      <c r="J675" s="77"/>
      <c r="K675" s="77"/>
      <c r="L675" s="77"/>
    </row>
    <row r="676" spans="10:12" x14ac:dyDescent="0.25">
      <c r="J676" s="77"/>
      <c r="K676" s="77"/>
      <c r="L676" s="77"/>
    </row>
    <row r="677" spans="10:12" x14ac:dyDescent="0.25">
      <c r="J677" s="77"/>
      <c r="K677" s="77"/>
      <c r="L677" s="77"/>
    </row>
    <row r="678" spans="10:12" x14ac:dyDescent="0.25">
      <c r="J678" s="77"/>
      <c r="K678" s="77"/>
      <c r="L678" s="77"/>
    </row>
    <row r="679" spans="10:12" x14ac:dyDescent="0.25">
      <c r="J679" s="77"/>
      <c r="K679" s="77"/>
      <c r="L679" s="77"/>
    </row>
    <row r="680" spans="10:12" x14ac:dyDescent="0.25">
      <c r="J680" s="77"/>
      <c r="K680" s="77"/>
      <c r="L680" s="77"/>
    </row>
    <row r="681" spans="10:12" x14ac:dyDescent="0.25">
      <c r="J681" s="77"/>
      <c r="K681" s="77"/>
      <c r="L681" s="77"/>
    </row>
    <row r="682" spans="10:12" x14ac:dyDescent="0.25">
      <c r="J682" s="77"/>
      <c r="K682" s="77"/>
      <c r="L682" s="77"/>
    </row>
    <row r="683" spans="10:12" x14ac:dyDescent="0.25">
      <c r="J683" s="77"/>
      <c r="K683" s="77"/>
      <c r="L683" s="77"/>
    </row>
    <row r="684" spans="10:12" x14ac:dyDescent="0.25">
      <c r="J684" s="77"/>
      <c r="K684" s="77"/>
      <c r="L684" s="77"/>
    </row>
    <row r="685" spans="10:12" x14ac:dyDescent="0.25">
      <c r="J685" s="77"/>
      <c r="K685" s="77"/>
      <c r="L685" s="77"/>
    </row>
    <row r="686" spans="10:12" x14ac:dyDescent="0.25">
      <c r="J686" s="77"/>
      <c r="K686" s="77"/>
      <c r="L686" s="77"/>
    </row>
    <row r="687" spans="10:12" x14ac:dyDescent="0.25">
      <c r="J687" s="77"/>
      <c r="K687" s="77"/>
      <c r="L687" s="77"/>
    </row>
    <row r="688" spans="10:12" x14ac:dyDescent="0.25">
      <c r="J688" s="77"/>
      <c r="K688" s="77"/>
      <c r="L688" s="77"/>
    </row>
    <row r="689" spans="10:12" x14ac:dyDescent="0.25">
      <c r="J689" s="77"/>
      <c r="K689" s="77"/>
      <c r="L689" s="77"/>
    </row>
    <row r="690" spans="10:12" x14ac:dyDescent="0.25">
      <c r="J690" s="77"/>
      <c r="K690" s="77"/>
      <c r="L690" s="77"/>
    </row>
    <row r="691" spans="10:12" x14ac:dyDescent="0.25">
      <c r="J691" s="77"/>
      <c r="K691" s="77"/>
      <c r="L691" s="77"/>
    </row>
    <row r="692" spans="10:12" x14ac:dyDescent="0.25">
      <c r="J692" s="77"/>
      <c r="K692" s="77"/>
      <c r="L692" s="77"/>
    </row>
    <row r="693" spans="10:12" x14ac:dyDescent="0.25">
      <c r="J693" s="77"/>
      <c r="K693" s="77"/>
      <c r="L693" s="77"/>
    </row>
    <row r="694" spans="10:12" x14ac:dyDescent="0.25">
      <c r="J694" s="77"/>
      <c r="K694" s="77"/>
      <c r="L694" s="77"/>
    </row>
    <row r="695" spans="10:12" x14ac:dyDescent="0.25">
      <c r="J695" s="77"/>
      <c r="K695" s="77"/>
      <c r="L695" s="77"/>
    </row>
    <row r="696" spans="10:12" x14ac:dyDescent="0.25">
      <c r="J696" s="77"/>
      <c r="K696" s="77"/>
      <c r="L696" s="77"/>
    </row>
    <row r="697" spans="10:12" x14ac:dyDescent="0.25">
      <c r="J697" s="77"/>
      <c r="K697" s="77"/>
      <c r="L697" s="77"/>
    </row>
    <row r="698" spans="10:12" x14ac:dyDescent="0.25">
      <c r="J698" s="77"/>
      <c r="K698" s="77"/>
      <c r="L698" s="77"/>
    </row>
    <row r="699" spans="10:12" x14ac:dyDescent="0.25">
      <c r="J699" s="77"/>
      <c r="K699" s="77"/>
      <c r="L699" s="77"/>
    </row>
    <row r="700" spans="10:12" x14ac:dyDescent="0.25">
      <c r="J700" s="77"/>
      <c r="K700" s="77"/>
      <c r="L700" s="77"/>
    </row>
    <row r="701" spans="10:12" x14ac:dyDescent="0.25">
      <c r="J701" s="77"/>
      <c r="K701" s="77"/>
      <c r="L701" s="77"/>
    </row>
    <row r="702" spans="10:12" x14ac:dyDescent="0.25">
      <c r="J702" s="77"/>
      <c r="K702" s="77"/>
      <c r="L702" s="77"/>
    </row>
    <row r="703" spans="10:12" x14ac:dyDescent="0.25">
      <c r="J703" s="77"/>
      <c r="K703" s="77"/>
      <c r="L703" s="77"/>
    </row>
    <row r="704" spans="10:12" x14ac:dyDescent="0.25">
      <c r="J704" s="77"/>
      <c r="K704" s="77"/>
      <c r="L704" s="77"/>
    </row>
    <row r="705" spans="10:12" x14ac:dyDescent="0.25">
      <c r="J705" s="77"/>
      <c r="K705" s="77"/>
      <c r="L705" s="77"/>
    </row>
    <row r="706" spans="10:12" x14ac:dyDescent="0.25">
      <c r="J706" s="77"/>
      <c r="K706" s="77"/>
      <c r="L706" s="77"/>
    </row>
    <row r="707" spans="10:12" x14ac:dyDescent="0.25">
      <c r="J707" s="77"/>
      <c r="K707" s="77"/>
      <c r="L707" s="77"/>
    </row>
    <row r="708" spans="10:12" x14ac:dyDescent="0.25">
      <c r="J708" s="77"/>
      <c r="K708" s="77"/>
      <c r="L708" s="77"/>
    </row>
    <row r="709" spans="10:12" x14ac:dyDescent="0.25">
      <c r="J709" s="77"/>
      <c r="K709" s="77"/>
      <c r="L709" s="77"/>
    </row>
    <row r="710" spans="10:12" x14ac:dyDescent="0.25">
      <c r="J710" s="77"/>
      <c r="K710" s="77"/>
      <c r="L710" s="77"/>
    </row>
    <row r="711" spans="10:12" x14ac:dyDescent="0.25">
      <c r="J711" s="77"/>
      <c r="K711" s="77"/>
      <c r="L711" s="77"/>
    </row>
    <row r="712" spans="10:12" x14ac:dyDescent="0.25">
      <c r="J712" s="77"/>
      <c r="K712" s="77"/>
      <c r="L712" s="77"/>
    </row>
    <row r="713" spans="10:12" x14ac:dyDescent="0.25">
      <c r="J713" s="77"/>
      <c r="K713" s="77"/>
      <c r="L713" s="77"/>
    </row>
    <row r="714" spans="10:12" x14ac:dyDescent="0.25">
      <c r="J714" s="77"/>
      <c r="K714" s="77"/>
      <c r="L714" s="77"/>
    </row>
  </sheetData>
  <sheetProtection algorithmName="SHA-512" hashValue="AkQMfToS85p3N3YyhbG43OzXpecNyr48RrMSorjo9pbgfGXTuU8Kupq8aN00meYKnGdwSD6yi1b62rLIdGCqEA==" saltValue="1TXl0A0NUATMUyVXRPn7QA==" spinCount="100000" sheet="1" objects="1" scenarios="1"/>
  <mergeCells count="6">
    <mergeCell ref="B1:L1"/>
    <mergeCell ref="B3:B4"/>
    <mergeCell ref="D3:F3"/>
    <mergeCell ref="G3:G4"/>
    <mergeCell ref="H3:J3"/>
    <mergeCell ref="K3:L3"/>
  </mergeCells>
  <conditionalFormatting sqref="E51 I51">
    <cfRule type="cellIs" dxfId="13" priority="1" operator="greaterThan">
      <formula>0</formula>
    </cfRule>
    <cfRule type="cellIs" dxfId="12" priority="2" operator="lessThan">
      <formula>0</formula>
    </cfRule>
  </conditionalFormatting>
  <conditionalFormatting sqref="K49:L49">
    <cfRule type="cellIs" dxfId="11" priority="3" operator="lessThan">
      <formula>0</formula>
    </cfRule>
    <cfRule type="cellIs" dxfId="10" priority="4" operator="greaterThan">
      <formula>0</formula>
    </cfRule>
  </conditionalFormatting>
  <dataValidations count="6">
    <dataValidation type="list" showInputMessage="1" showErrorMessage="1" promptTitle="Pojistné zaměstnanci" sqref="H39" xr:uid="{DED9DB97-AA39-4087-B5E5-B634C1868270}">
      <formula1>$K$239:$K$389</formula1>
    </dataValidation>
    <dataValidation type="list" showInputMessage="1" showErrorMessage="1" promptTitle="Pojistné zaměstnavatelé" sqref="H36:H37" xr:uid="{742C12D4-7C1A-4F11-B970-510D7709D377}">
      <formula1>$J$85:$J$235</formula1>
    </dataValidation>
    <dataValidation type="list" showInputMessage="1" showErrorMessage="1" promptTitle="Pojistné zaměstnanci" sqref="H34" xr:uid="{94697FA8-0855-494F-ABA7-7FFA5750E143}">
      <formula1>$K$85:$K$170</formula1>
    </dataValidation>
    <dataValidation type="list" showInputMessage="1" showErrorMessage="1" promptTitle="Pojistné zaměstnavatelé" sqref="H35" xr:uid="{C06B17F2-D95C-409E-AF84-8D3C6B9BE886}">
      <formula1>$L$85:$L$235</formula1>
    </dataValidation>
    <dataValidation type="list" showInputMessage="1" showErrorMessage="1" promptTitle="Pojistné zaměstnanci" sqref="H41" xr:uid="{A4387176-7777-4D09-9462-0B94CA91F881}">
      <formula1>$J$239:$J$389</formula1>
    </dataValidation>
    <dataValidation type="list" showInputMessage="1" showErrorMessage="1" promptTitle="Pojistné zaměstnanci" sqref="H40" xr:uid="{549553FC-0223-4908-9A8C-1128A1ABECCA}">
      <formula1>$L$239:$L$389</formula1>
    </dataValidation>
  </dataValidations>
  <pageMargins left="0.25" right="0.25" top="0.75" bottom="0.75" header="0.3" footer="0.3"/>
  <pageSetup paperSize="8"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A2528-3DAE-4042-A52F-190A5E6C8734}">
  <sheetPr>
    <tabColor rgb="FFFF0000"/>
    <pageSetUpPr fitToPage="1"/>
  </sheetPr>
  <dimension ref="B1:C15"/>
  <sheetViews>
    <sheetView showGridLines="0" zoomScaleNormal="100" workbookViewId="0">
      <selection activeCell="C7" sqref="C7"/>
    </sheetView>
  </sheetViews>
  <sheetFormatPr defaultColWidth="9.140625" defaultRowHeight="15" x14ac:dyDescent="0.2"/>
  <cols>
    <col min="1" max="1" width="4" style="262" customWidth="1"/>
    <col min="2" max="2" width="51.7109375" style="262" customWidth="1"/>
    <col min="3" max="3" width="147.140625" style="262" customWidth="1"/>
    <col min="4" max="16384" width="9.140625" style="262"/>
  </cols>
  <sheetData>
    <row r="1" spans="2:3" ht="27" customHeight="1" x14ac:dyDescent="0.2"/>
    <row r="2" spans="2:3" ht="33.75" x14ac:dyDescent="0.2">
      <c r="C2" s="391" t="s">
        <v>94</v>
      </c>
    </row>
    <row r="3" spans="2:3" ht="54" customHeight="1" x14ac:dyDescent="0.2">
      <c r="C3" s="392" t="s">
        <v>95</v>
      </c>
    </row>
    <row r="4" spans="2:3" ht="52.5" customHeight="1" x14ac:dyDescent="0.2">
      <c r="C4" s="392" t="s">
        <v>374</v>
      </c>
    </row>
    <row r="5" spans="2:3" ht="33.75" customHeight="1" x14ac:dyDescent="0.2">
      <c r="C5" s="269" t="s">
        <v>96</v>
      </c>
    </row>
    <row r="6" spans="2:3" ht="21.75" customHeight="1" x14ac:dyDescent="0.2">
      <c r="C6" s="269" t="s">
        <v>375</v>
      </c>
    </row>
    <row r="7" spans="2:3" ht="35.25" customHeight="1" x14ac:dyDescent="0.2">
      <c r="C7" s="378" t="s">
        <v>376</v>
      </c>
    </row>
    <row r="8" spans="2:3" ht="21.75" customHeight="1" x14ac:dyDescent="0.2">
      <c r="C8" s="378" t="s">
        <v>377</v>
      </c>
    </row>
    <row r="9" spans="2:3" ht="39" customHeight="1" x14ac:dyDescent="0.2">
      <c r="B9" s="270"/>
      <c r="C9" s="269" t="s">
        <v>97</v>
      </c>
    </row>
    <row r="10" spans="2:3" s="270" customFormat="1" ht="29.25" customHeight="1" x14ac:dyDescent="0.25">
      <c r="C10" s="382" t="s">
        <v>378</v>
      </c>
    </row>
    <row r="11" spans="2:3" ht="68.25" customHeight="1" x14ac:dyDescent="0.2">
      <c r="C11" s="265" t="s">
        <v>379</v>
      </c>
    </row>
    <row r="12" spans="2:3" x14ac:dyDescent="0.2">
      <c r="C12" s="272"/>
    </row>
    <row r="13" spans="2:3" x14ac:dyDescent="0.2">
      <c r="C13" s="264" t="s">
        <v>19</v>
      </c>
    </row>
    <row r="14" spans="2:3" s="270" customFormat="1" x14ac:dyDescent="0.25">
      <c r="C14" s="266" t="s">
        <v>98</v>
      </c>
    </row>
    <row r="15" spans="2:3" x14ac:dyDescent="0.2">
      <c r="C15" s="267" t="s">
        <v>380</v>
      </c>
    </row>
  </sheetData>
  <sheetProtection algorithmName="SHA-512" hashValue="8kRM8Hhqgi0uI7qbmlZ7jIHS8Mtbrcz6Es4LK5qUuxt5c8mtY8KFDkwnMkw+B2DjR1tH+q+GeI43rIZ5DtnbbQ==" saltValue="UnOI91bEeHVuZZZuQqs+3Q==" spinCount="100000" sheet="1" objects="1" scenarios="1"/>
  <pageMargins left="0.7" right="0.7" top="0.78740157499999996" bottom="0.78740157499999996" header="0.3" footer="0.3"/>
  <pageSetup paperSize="9" scale="6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473F6-1E91-4E70-BDE9-87DC2E882443}">
  <sheetPr>
    <tabColor rgb="FFFF0000"/>
    <pageSetUpPr fitToPage="1"/>
  </sheetPr>
  <dimension ref="B1:V139"/>
  <sheetViews>
    <sheetView topLeftCell="A85" zoomScale="55" zoomScaleNormal="55" workbookViewId="0">
      <selection activeCell="L26" sqref="L26"/>
    </sheetView>
  </sheetViews>
  <sheetFormatPr defaultColWidth="9.140625" defaultRowHeight="15" outlineLevelRow="1" x14ac:dyDescent="0.25"/>
  <cols>
    <col min="1" max="1" width="4.140625" style="8" customWidth="1"/>
    <col min="2" max="2" width="115.28515625" style="8" customWidth="1"/>
    <col min="3" max="3" width="24.140625" style="9" customWidth="1"/>
    <col min="4" max="4" width="22.7109375" style="10" customWidth="1"/>
    <col min="5" max="5" width="18.42578125" style="11" customWidth="1"/>
    <col min="6" max="6" width="20.7109375" style="10" customWidth="1"/>
    <col min="7" max="7" width="15.85546875" style="11" customWidth="1"/>
    <col min="8" max="8" width="4.5703125" style="8" customWidth="1"/>
    <col min="9" max="9" width="34.140625" style="10" customWidth="1"/>
    <col min="10" max="10" width="20.7109375" style="12" customWidth="1"/>
    <col min="11" max="11" width="38.42578125" style="13" customWidth="1"/>
    <col min="12" max="12" width="20.7109375" style="11" customWidth="1"/>
    <col min="13" max="13" width="20.7109375" style="9" bestFit="1" customWidth="1"/>
    <col min="14" max="14" width="14.28515625" style="14" customWidth="1"/>
    <col min="15" max="15" width="18.42578125" style="8" customWidth="1"/>
    <col min="16" max="16" width="28.7109375" style="8" bestFit="1" customWidth="1"/>
    <col min="17" max="16384" width="9.140625" style="8"/>
  </cols>
  <sheetData>
    <row r="1" spans="2:14" ht="165" customHeight="1" x14ac:dyDescent="0.25">
      <c r="B1" s="690" t="s">
        <v>381</v>
      </c>
      <c r="C1" s="690"/>
      <c r="D1" s="690"/>
      <c r="E1" s="690"/>
      <c r="F1" s="690"/>
      <c r="G1" s="690"/>
      <c r="H1" s="690"/>
      <c r="I1" s="690"/>
      <c r="J1" s="690"/>
      <c r="K1" s="690"/>
      <c r="L1" s="690"/>
      <c r="M1" s="690"/>
      <c r="N1" s="690"/>
    </row>
    <row r="2" spans="2:14" ht="16.5" thickBot="1" x14ac:dyDescent="0.3">
      <c r="C2" s="50"/>
      <c r="D2" s="71"/>
    </row>
    <row r="3" spans="2:14" ht="23.25" customHeight="1" x14ac:dyDescent="0.25">
      <c r="B3" s="691" t="s">
        <v>99</v>
      </c>
      <c r="C3" s="693" t="s">
        <v>382</v>
      </c>
      <c r="D3" s="694"/>
      <c r="E3" s="694"/>
      <c r="F3" s="694"/>
      <c r="G3" s="695"/>
      <c r="H3" s="15"/>
      <c r="I3" s="693" t="s">
        <v>100</v>
      </c>
      <c r="J3" s="694"/>
      <c r="K3" s="694"/>
      <c r="L3" s="694"/>
      <c r="M3" s="695"/>
      <c r="N3" s="696" t="s">
        <v>101</v>
      </c>
    </row>
    <row r="4" spans="2:14" ht="32.25" customHeight="1" thickBot="1" x14ac:dyDescent="0.3">
      <c r="B4" s="692"/>
      <c r="C4" s="58" t="s">
        <v>102</v>
      </c>
      <c r="D4" s="288" t="s">
        <v>103</v>
      </c>
      <c r="E4" s="288" t="s">
        <v>104</v>
      </c>
      <c r="F4" s="288" t="s">
        <v>105</v>
      </c>
      <c r="G4" s="287" t="s">
        <v>106</v>
      </c>
      <c r="H4" s="288"/>
      <c r="I4" s="58" t="s">
        <v>103</v>
      </c>
      <c r="J4" s="288" t="s">
        <v>104</v>
      </c>
      <c r="K4" s="288" t="s">
        <v>105</v>
      </c>
      <c r="L4" s="288" t="s">
        <v>106</v>
      </c>
      <c r="M4" s="287" t="s">
        <v>102</v>
      </c>
      <c r="N4" s="697"/>
    </row>
    <row r="5" spans="2:14" ht="27" customHeight="1" x14ac:dyDescent="0.25">
      <c r="B5" s="393" t="s">
        <v>107</v>
      </c>
      <c r="C5" s="394">
        <f>SUM(C6:C12)</f>
        <v>178.935851017</v>
      </c>
      <c r="D5" s="395"/>
      <c r="E5" s="396"/>
      <c r="F5" s="395"/>
      <c r="G5" s="397"/>
      <c r="H5" s="398"/>
      <c r="I5" s="399"/>
      <c r="J5" s="400"/>
      <c r="K5" s="401"/>
      <c r="L5" s="396"/>
      <c r="M5" s="402">
        <f>SUM(M6:M12)</f>
        <v>178.935851017</v>
      </c>
      <c r="N5" s="403">
        <f t="shared" ref="N5:N29" si="0">M5-C5</f>
        <v>0</v>
      </c>
    </row>
    <row r="6" spans="2:14" ht="27" customHeight="1" outlineLevel="1" x14ac:dyDescent="0.25">
      <c r="B6" s="16" t="s">
        <v>108</v>
      </c>
      <c r="C6" s="17">
        <v>24.786229208000002</v>
      </c>
      <c r="D6" s="10" t="s">
        <v>109</v>
      </c>
      <c r="E6" s="11">
        <v>49054</v>
      </c>
      <c r="F6" s="13" t="s">
        <v>110</v>
      </c>
      <c r="G6" s="18">
        <f>C6*1000000000/E6/12</f>
        <v>42107.047349179811</v>
      </c>
      <c r="I6" s="19" t="s">
        <v>109</v>
      </c>
      <c r="J6" s="54">
        <v>49054</v>
      </c>
      <c r="K6" s="13" t="s">
        <v>110</v>
      </c>
      <c r="L6" s="54">
        <v>42107.047349179811</v>
      </c>
      <c r="M6" s="20">
        <f>J6*L6*12/1000000000</f>
        <v>24.786229208000002</v>
      </c>
      <c r="N6" s="21">
        <f t="shared" si="0"/>
        <v>0</v>
      </c>
    </row>
    <row r="7" spans="2:14" ht="27" customHeight="1" outlineLevel="1" x14ac:dyDescent="0.25">
      <c r="B7" s="16" t="s">
        <v>111</v>
      </c>
      <c r="C7" s="17">
        <v>60.833377742000003</v>
      </c>
      <c r="D7" s="10" t="s">
        <v>109</v>
      </c>
      <c r="E7" s="11">
        <v>99162</v>
      </c>
      <c r="F7" s="13" t="s">
        <v>110</v>
      </c>
      <c r="G7" s="18">
        <f t="shared" ref="G7:G9" si="1">C7*1000000000/E7/12</f>
        <v>51122.891280598073</v>
      </c>
      <c r="I7" s="19" t="s">
        <v>109</v>
      </c>
      <c r="J7" s="54">
        <v>99162</v>
      </c>
      <c r="K7" s="13" t="s">
        <v>110</v>
      </c>
      <c r="L7" s="54">
        <v>51122.891280598073</v>
      </c>
      <c r="M7" s="20">
        <f>J7*L7*12/1000000000</f>
        <v>60.833377741999989</v>
      </c>
      <c r="N7" s="21">
        <f t="shared" si="0"/>
        <v>0</v>
      </c>
    </row>
    <row r="8" spans="2:14" ht="27" customHeight="1" outlineLevel="1" x14ac:dyDescent="0.25">
      <c r="B8" s="16" t="s">
        <v>112</v>
      </c>
      <c r="C8" s="17">
        <v>34.234263540000001</v>
      </c>
      <c r="D8" s="10" t="s">
        <v>109</v>
      </c>
      <c r="E8" s="11">
        <v>62566</v>
      </c>
      <c r="F8" s="13" t="s">
        <v>110</v>
      </c>
      <c r="G8" s="18">
        <f t="shared" si="1"/>
        <v>45597.533724387053</v>
      </c>
      <c r="I8" s="19" t="s">
        <v>109</v>
      </c>
      <c r="J8" s="54">
        <v>62566</v>
      </c>
      <c r="K8" s="13" t="s">
        <v>110</v>
      </c>
      <c r="L8" s="54">
        <v>45597.533724387053</v>
      </c>
      <c r="M8" s="20">
        <f>J8*L8*12/1000000000</f>
        <v>34.234263540000008</v>
      </c>
      <c r="N8" s="21">
        <f t="shared" si="0"/>
        <v>0</v>
      </c>
    </row>
    <row r="9" spans="2:14" ht="27" customHeight="1" outlineLevel="1" x14ac:dyDescent="0.25">
      <c r="B9" s="16" t="s">
        <v>113</v>
      </c>
      <c r="C9" s="17">
        <v>2.4143075340000002</v>
      </c>
      <c r="D9" s="10" t="s">
        <v>109</v>
      </c>
      <c r="E9" s="11">
        <v>1405</v>
      </c>
      <c r="F9" s="13" t="s">
        <v>110</v>
      </c>
      <c r="G9" s="18">
        <f t="shared" si="1"/>
        <v>143197.36263345196</v>
      </c>
      <c r="I9" s="19" t="s">
        <v>109</v>
      </c>
      <c r="J9" s="54">
        <v>1405</v>
      </c>
      <c r="K9" s="13" t="s">
        <v>110</v>
      </c>
      <c r="L9" s="54">
        <v>143197.36263345196</v>
      </c>
      <c r="M9" s="20">
        <f>J9*L9*12/1000000000</f>
        <v>2.4143075340000002</v>
      </c>
      <c r="N9" s="21">
        <f t="shared" si="0"/>
        <v>0</v>
      </c>
    </row>
    <row r="10" spans="2:14" ht="27" customHeight="1" outlineLevel="1" x14ac:dyDescent="0.25">
      <c r="B10" s="16" t="s">
        <v>114</v>
      </c>
      <c r="C10" s="17">
        <v>7.1378623570000004</v>
      </c>
      <c r="D10" s="349"/>
      <c r="E10" s="350"/>
      <c r="G10" s="18"/>
      <c r="I10" s="19" t="s">
        <v>115</v>
      </c>
      <c r="J10" s="54">
        <v>0</v>
      </c>
      <c r="M10" s="20">
        <f>C10+J10/100*C10</f>
        <v>7.1378623570000004</v>
      </c>
      <c r="N10" s="21">
        <f t="shared" si="0"/>
        <v>0</v>
      </c>
    </row>
    <row r="11" spans="2:14" ht="27" customHeight="1" outlineLevel="1" x14ac:dyDescent="0.25">
      <c r="B11" s="16" t="s">
        <v>116</v>
      </c>
      <c r="C11" s="17">
        <v>45.40620354</v>
      </c>
      <c r="E11" s="351"/>
      <c r="G11" s="18"/>
      <c r="I11" s="19"/>
      <c r="M11" s="66" cm="1">
        <f t="array" ref="M11">SUM(M6:M10*(C11/SUM(C6:C10)))</f>
        <v>45.406203540000007</v>
      </c>
      <c r="N11" s="21">
        <f t="shared" si="0"/>
        <v>0</v>
      </c>
    </row>
    <row r="12" spans="2:14" ht="27" customHeight="1" outlineLevel="1" x14ac:dyDescent="0.25">
      <c r="B12" s="16" t="s">
        <v>117</v>
      </c>
      <c r="C12" s="17">
        <v>4.1236070959999997</v>
      </c>
      <c r="D12" s="8"/>
      <c r="E12" s="10"/>
      <c r="G12" s="18"/>
      <c r="I12" s="19" t="s">
        <v>115</v>
      </c>
      <c r="J12" s="54">
        <v>0</v>
      </c>
      <c r="M12" s="20">
        <f>C12+J12/100*C12</f>
        <v>4.1236070959999997</v>
      </c>
      <c r="N12" s="21">
        <f t="shared" si="0"/>
        <v>0</v>
      </c>
    </row>
    <row r="13" spans="2:14" ht="27" customHeight="1" x14ac:dyDescent="0.25">
      <c r="B13" s="393" t="s">
        <v>118</v>
      </c>
      <c r="C13" s="394">
        <f>SUM(C14:C29)</f>
        <v>101.51116220899999</v>
      </c>
      <c r="D13" s="404"/>
      <c r="E13" s="395"/>
      <c r="F13" s="395"/>
      <c r="G13" s="397"/>
      <c r="H13" s="398"/>
      <c r="I13" s="399"/>
      <c r="J13" s="400"/>
      <c r="K13" s="401"/>
      <c r="L13" s="396"/>
      <c r="M13" s="405">
        <f>SUM(M14:M29)</f>
        <v>101.51116220899999</v>
      </c>
      <c r="N13" s="403">
        <f t="shared" si="0"/>
        <v>0</v>
      </c>
    </row>
    <row r="14" spans="2:14" ht="27" customHeight="1" outlineLevel="1" x14ac:dyDescent="0.25">
      <c r="B14" s="16" t="s">
        <v>119</v>
      </c>
      <c r="C14" s="17">
        <v>12.146611958999999</v>
      </c>
      <c r="E14" s="352"/>
      <c r="G14" s="18"/>
      <c r="I14" s="19" t="s">
        <v>115</v>
      </c>
      <c r="J14" s="54">
        <v>0</v>
      </c>
      <c r="M14" s="20">
        <f>C14+J14/100*C14</f>
        <v>12.146611958999999</v>
      </c>
      <c r="N14" s="21">
        <f t="shared" si="0"/>
        <v>0</v>
      </c>
    </row>
    <row r="15" spans="2:14" ht="27" customHeight="1" outlineLevel="1" x14ac:dyDescent="0.25">
      <c r="B15" s="16" t="s">
        <v>120</v>
      </c>
      <c r="C15" s="17">
        <v>0.71131818499999999</v>
      </c>
      <c r="G15" s="18"/>
      <c r="I15" s="19" t="s">
        <v>115</v>
      </c>
      <c r="J15" s="54">
        <v>0</v>
      </c>
      <c r="M15" s="20">
        <f t="shared" ref="M15:M29" si="2">C15+J15/100*C15</f>
        <v>0.71131818499999999</v>
      </c>
      <c r="N15" s="21">
        <f t="shared" si="0"/>
        <v>0</v>
      </c>
    </row>
    <row r="16" spans="2:14" ht="27" customHeight="1" outlineLevel="1" x14ac:dyDescent="0.25">
      <c r="B16" s="16" t="s">
        <v>121</v>
      </c>
      <c r="C16" s="17">
        <v>13.477794078000001</v>
      </c>
      <c r="G16" s="18"/>
      <c r="I16" s="19" t="s">
        <v>115</v>
      </c>
      <c r="J16" s="54">
        <v>0</v>
      </c>
      <c r="M16" s="20">
        <f t="shared" si="2"/>
        <v>13.477794078000001</v>
      </c>
      <c r="N16" s="21">
        <f t="shared" si="0"/>
        <v>0</v>
      </c>
    </row>
    <row r="17" spans="2:22" ht="27" customHeight="1" outlineLevel="1" x14ac:dyDescent="0.25">
      <c r="B17" s="16" t="s">
        <v>122</v>
      </c>
      <c r="C17" s="17">
        <v>9.9517962900000008</v>
      </c>
      <c r="G17" s="18"/>
      <c r="I17" s="19" t="s">
        <v>115</v>
      </c>
      <c r="J17" s="54">
        <v>0</v>
      </c>
      <c r="M17" s="20">
        <f t="shared" si="2"/>
        <v>9.9517962900000008</v>
      </c>
      <c r="N17" s="21">
        <f t="shared" si="0"/>
        <v>0</v>
      </c>
    </row>
    <row r="18" spans="2:22" ht="27" customHeight="1" outlineLevel="1" x14ac:dyDescent="0.25">
      <c r="B18" s="16" t="s">
        <v>123</v>
      </c>
      <c r="C18" s="17">
        <v>3.872518527</v>
      </c>
      <c r="G18" s="18"/>
      <c r="I18" s="19" t="s">
        <v>115</v>
      </c>
      <c r="J18" s="54">
        <v>0</v>
      </c>
      <c r="M18" s="20">
        <f t="shared" si="2"/>
        <v>3.872518527</v>
      </c>
      <c r="N18" s="21">
        <f t="shared" si="0"/>
        <v>0</v>
      </c>
    </row>
    <row r="19" spans="2:22" ht="27" customHeight="1" outlineLevel="1" x14ac:dyDescent="0.25">
      <c r="B19" s="16" t="s">
        <v>124</v>
      </c>
      <c r="C19" s="17">
        <v>3.1019511319999999</v>
      </c>
      <c r="D19" s="8"/>
      <c r="G19" s="18"/>
      <c r="I19" s="19" t="s">
        <v>115</v>
      </c>
      <c r="J19" s="54">
        <v>0</v>
      </c>
      <c r="M19" s="20">
        <f t="shared" si="2"/>
        <v>3.1019511319999999</v>
      </c>
      <c r="N19" s="21">
        <f t="shared" si="0"/>
        <v>0</v>
      </c>
    </row>
    <row r="20" spans="2:22" ht="27" customHeight="1" outlineLevel="1" x14ac:dyDescent="0.25">
      <c r="B20" s="16" t="s">
        <v>125</v>
      </c>
      <c r="C20" s="17">
        <v>2.3538083940000001</v>
      </c>
      <c r="G20" s="18"/>
      <c r="I20" s="19" t="s">
        <v>115</v>
      </c>
      <c r="J20" s="54">
        <v>0</v>
      </c>
      <c r="M20" s="20">
        <f t="shared" si="2"/>
        <v>2.3538083940000001</v>
      </c>
      <c r="N20" s="21">
        <f t="shared" si="0"/>
        <v>0</v>
      </c>
    </row>
    <row r="21" spans="2:22" ht="27" customHeight="1" outlineLevel="1" x14ac:dyDescent="0.25">
      <c r="B21" s="16" t="s">
        <v>126</v>
      </c>
      <c r="C21" s="17">
        <v>2.1634559719999999</v>
      </c>
      <c r="G21" s="18"/>
      <c r="I21" s="19" t="s">
        <v>115</v>
      </c>
      <c r="J21" s="54">
        <v>0</v>
      </c>
      <c r="M21" s="20">
        <f t="shared" si="2"/>
        <v>2.1634559719999999</v>
      </c>
      <c r="N21" s="21">
        <f t="shared" si="0"/>
        <v>0</v>
      </c>
    </row>
    <row r="22" spans="2:22" ht="27" customHeight="1" outlineLevel="1" x14ac:dyDescent="0.25">
      <c r="B22" s="16" t="s">
        <v>127</v>
      </c>
      <c r="C22" s="17">
        <v>3.3101354760000001</v>
      </c>
      <c r="G22" s="18"/>
      <c r="I22" s="19" t="s">
        <v>115</v>
      </c>
      <c r="J22" s="54">
        <v>0</v>
      </c>
      <c r="M22" s="20">
        <f t="shared" si="2"/>
        <v>3.3101354760000001</v>
      </c>
      <c r="N22" s="21">
        <f t="shared" si="0"/>
        <v>0</v>
      </c>
    </row>
    <row r="23" spans="2:22" ht="27" customHeight="1" outlineLevel="1" x14ac:dyDescent="0.25">
      <c r="B23" s="16" t="s">
        <v>128</v>
      </c>
      <c r="C23" s="17">
        <v>1.8196108980000001</v>
      </c>
      <c r="G23" s="18"/>
      <c r="I23" s="19" t="s">
        <v>115</v>
      </c>
      <c r="J23" s="54">
        <v>0</v>
      </c>
      <c r="M23" s="20">
        <f t="shared" si="2"/>
        <v>1.8196108980000001</v>
      </c>
      <c r="N23" s="21">
        <f t="shared" si="0"/>
        <v>0</v>
      </c>
    </row>
    <row r="24" spans="2:22" ht="27" customHeight="1" outlineLevel="1" x14ac:dyDescent="0.25">
      <c r="B24" s="16" t="s">
        <v>129</v>
      </c>
      <c r="C24" s="17">
        <v>1.635607861</v>
      </c>
      <c r="G24" s="18"/>
      <c r="I24" s="19" t="s">
        <v>115</v>
      </c>
      <c r="J24" s="54">
        <v>0</v>
      </c>
      <c r="M24" s="20">
        <f t="shared" si="2"/>
        <v>1.635607861</v>
      </c>
      <c r="N24" s="21">
        <f t="shared" si="0"/>
        <v>0</v>
      </c>
    </row>
    <row r="25" spans="2:22" ht="27" customHeight="1" outlineLevel="1" x14ac:dyDescent="0.25">
      <c r="B25" s="16" t="s">
        <v>130</v>
      </c>
      <c r="C25" s="17">
        <v>2.3659584140000001</v>
      </c>
      <c r="G25" s="18"/>
      <c r="I25" s="19" t="s">
        <v>115</v>
      </c>
      <c r="J25" s="54">
        <v>0</v>
      </c>
      <c r="M25" s="20">
        <f t="shared" si="2"/>
        <v>2.3659584140000001</v>
      </c>
      <c r="N25" s="21">
        <f t="shared" si="0"/>
        <v>0</v>
      </c>
    </row>
    <row r="26" spans="2:22" ht="27" customHeight="1" outlineLevel="1" x14ac:dyDescent="0.25">
      <c r="B26" s="16" t="s">
        <v>131</v>
      </c>
      <c r="C26" s="17">
        <v>1.782290766</v>
      </c>
      <c r="G26" s="18"/>
      <c r="I26" s="19" t="s">
        <v>115</v>
      </c>
      <c r="J26" s="54">
        <v>0</v>
      </c>
      <c r="M26" s="20">
        <f t="shared" si="2"/>
        <v>1.782290766</v>
      </c>
      <c r="N26" s="21">
        <f t="shared" si="0"/>
        <v>0</v>
      </c>
    </row>
    <row r="27" spans="2:22" ht="27" customHeight="1" outlineLevel="1" x14ac:dyDescent="0.25">
      <c r="B27" s="16" t="s">
        <v>132</v>
      </c>
      <c r="C27" s="17">
        <v>2.406014146</v>
      </c>
      <c r="G27" s="18"/>
      <c r="I27" s="19" t="s">
        <v>115</v>
      </c>
      <c r="J27" s="54">
        <v>0</v>
      </c>
      <c r="M27" s="20">
        <f t="shared" si="2"/>
        <v>2.406014146</v>
      </c>
      <c r="N27" s="21">
        <f t="shared" si="0"/>
        <v>0</v>
      </c>
    </row>
    <row r="28" spans="2:22" ht="27" customHeight="1" outlineLevel="1" x14ac:dyDescent="0.25">
      <c r="B28" s="16" t="s">
        <v>133</v>
      </c>
      <c r="C28" s="17">
        <v>26.035873243000001</v>
      </c>
      <c r="D28" s="8"/>
      <c r="G28" s="18"/>
      <c r="I28" s="19" t="s">
        <v>115</v>
      </c>
      <c r="J28" s="54">
        <v>0</v>
      </c>
      <c r="M28" s="20">
        <f t="shared" si="2"/>
        <v>26.035873243000001</v>
      </c>
      <c r="N28" s="21">
        <f t="shared" si="0"/>
        <v>0</v>
      </c>
    </row>
    <row r="29" spans="2:22" ht="27" customHeight="1" outlineLevel="1" x14ac:dyDescent="0.25">
      <c r="B29" s="22" t="s">
        <v>134</v>
      </c>
      <c r="C29" s="17">
        <v>14.376416868</v>
      </c>
      <c r="D29" s="59"/>
      <c r="E29" s="24"/>
      <c r="F29" s="23"/>
      <c r="G29" s="25"/>
      <c r="H29" s="26"/>
      <c r="I29" s="27" t="s">
        <v>115</v>
      </c>
      <c r="J29" s="54">
        <v>0</v>
      </c>
      <c r="K29" s="28"/>
      <c r="L29" s="24"/>
      <c r="M29" s="29">
        <f t="shared" si="2"/>
        <v>14.376416868</v>
      </c>
      <c r="N29" s="30">
        <f t="shared" si="0"/>
        <v>0</v>
      </c>
    </row>
    <row r="30" spans="2:22" ht="27" customHeight="1" x14ac:dyDescent="0.25">
      <c r="B30" s="393" t="s">
        <v>135</v>
      </c>
      <c r="C30" s="394">
        <v>930.45633653200002</v>
      </c>
      <c r="D30" s="395"/>
      <c r="E30" s="396"/>
      <c r="F30" s="395"/>
      <c r="G30" s="397"/>
      <c r="H30" s="398"/>
      <c r="I30" s="399"/>
      <c r="J30" s="400"/>
      <c r="K30" s="401"/>
      <c r="L30" s="396"/>
      <c r="M30" s="405">
        <f>SUM(M32:M66)</f>
        <v>930.45633653200002</v>
      </c>
      <c r="N30" s="403">
        <f>M30-C30</f>
        <v>0</v>
      </c>
    </row>
    <row r="31" spans="2:22" ht="27" customHeight="1" outlineLevel="1" x14ac:dyDescent="0.25">
      <c r="B31" s="16" t="s">
        <v>136</v>
      </c>
      <c r="C31" s="31"/>
      <c r="F31" s="351"/>
      <c r="G31" s="18"/>
      <c r="I31" s="19"/>
      <c r="M31" s="20"/>
      <c r="N31" s="21"/>
    </row>
    <row r="32" spans="2:22" ht="27" customHeight="1" outlineLevel="1" x14ac:dyDescent="0.25">
      <c r="B32" s="32" t="s">
        <v>137</v>
      </c>
      <c r="C32" s="17">
        <v>586.87900000000002</v>
      </c>
      <c r="D32" s="13" t="s">
        <v>138</v>
      </c>
      <c r="E32" s="11">
        <v>2366799</v>
      </c>
      <c r="F32" s="349" t="s">
        <v>139</v>
      </c>
      <c r="G32" s="33">
        <f>C32*1000000000/E32/12</f>
        <v>20663.59810585239</v>
      </c>
      <c r="I32" s="34" t="s">
        <v>138</v>
      </c>
      <c r="J32" s="54">
        <v>2366799</v>
      </c>
      <c r="K32" s="10" t="s">
        <v>139</v>
      </c>
      <c r="L32" s="54">
        <v>20663.59810585239</v>
      </c>
      <c r="M32" s="20">
        <f>J32*L32*12/1000000000</f>
        <v>586.87900000000002</v>
      </c>
      <c r="N32" s="21">
        <f t="shared" ref="N32:N39" si="3">M32-C32</f>
        <v>0</v>
      </c>
      <c r="T32" s="12"/>
      <c r="U32" s="11"/>
      <c r="V32" s="11"/>
    </row>
    <row r="33" spans="2:22" ht="27" customHeight="1" outlineLevel="1" x14ac:dyDescent="0.25">
      <c r="B33" s="32" t="s">
        <v>140</v>
      </c>
      <c r="C33" s="17">
        <v>22.849</v>
      </c>
      <c r="D33" s="13" t="s">
        <v>138</v>
      </c>
      <c r="E33" s="11">
        <v>180812</v>
      </c>
      <c r="F33" s="349" t="s">
        <v>139</v>
      </c>
      <c r="G33" s="33">
        <f t="shared" ref="G33:G38" si="4">C33*1000000000/E33/12</f>
        <v>10530.73542316513</v>
      </c>
      <c r="I33" s="34" t="s">
        <v>138</v>
      </c>
      <c r="J33" s="54">
        <v>180812</v>
      </c>
      <c r="K33" s="10" t="s">
        <v>139</v>
      </c>
      <c r="L33" s="54">
        <v>10530.73542316513</v>
      </c>
      <c r="M33" s="20">
        <f t="shared" ref="M33:M38" si="5">J33*L33*12/1000000000</f>
        <v>22.849</v>
      </c>
      <c r="N33" s="21">
        <f t="shared" si="3"/>
        <v>0</v>
      </c>
      <c r="T33" s="12"/>
      <c r="U33" s="11"/>
      <c r="V33" s="11"/>
    </row>
    <row r="34" spans="2:22" ht="27" customHeight="1" outlineLevel="1" x14ac:dyDescent="0.25">
      <c r="B34" s="32" t="s">
        <v>141</v>
      </c>
      <c r="C34" s="17">
        <v>11.824999999999999</v>
      </c>
      <c r="D34" s="13" t="s">
        <v>138</v>
      </c>
      <c r="E34" s="11">
        <v>79864</v>
      </c>
      <c r="F34" s="349" t="s">
        <v>139</v>
      </c>
      <c r="G34" s="33">
        <f t="shared" si="4"/>
        <v>12338.684096297038</v>
      </c>
      <c r="I34" s="34" t="s">
        <v>138</v>
      </c>
      <c r="J34" s="54">
        <v>79864</v>
      </c>
      <c r="K34" s="10" t="s">
        <v>139</v>
      </c>
      <c r="L34" s="54">
        <v>12338.684096297038</v>
      </c>
      <c r="M34" s="20">
        <f t="shared" si="5"/>
        <v>11.824999999999999</v>
      </c>
      <c r="N34" s="21">
        <f t="shared" si="3"/>
        <v>0</v>
      </c>
      <c r="T34" s="12"/>
      <c r="U34" s="11"/>
      <c r="V34" s="11"/>
    </row>
    <row r="35" spans="2:22" ht="27" customHeight="1" outlineLevel="1" x14ac:dyDescent="0.25">
      <c r="B35" s="32" t="s">
        <v>142</v>
      </c>
      <c r="C35" s="17">
        <v>34.862000000000002</v>
      </c>
      <c r="D35" s="13" t="s">
        <v>138</v>
      </c>
      <c r="E35" s="11">
        <v>154947</v>
      </c>
      <c r="F35" s="349" t="s">
        <v>139</v>
      </c>
      <c r="G35" s="33">
        <f t="shared" si="4"/>
        <v>18749.421845319153</v>
      </c>
      <c r="I35" s="34" t="s">
        <v>138</v>
      </c>
      <c r="J35" s="54">
        <v>154947</v>
      </c>
      <c r="K35" s="10" t="s">
        <v>139</v>
      </c>
      <c r="L35" s="54">
        <v>18749.421845319153</v>
      </c>
      <c r="M35" s="20">
        <f t="shared" si="5"/>
        <v>34.862000000000002</v>
      </c>
      <c r="N35" s="21">
        <f t="shared" si="3"/>
        <v>0</v>
      </c>
      <c r="T35" s="12"/>
      <c r="U35" s="11"/>
      <c r="V35" s="11"/>
    </row>
    <row r="36" spans="2:22" ht="27" customHeight="1" outlineLevel="1" x14ac:dyDescent="0.25">
      <c r="B36" s="32" t="s">
        <v>143</v>
      </c>
      <c r="C36" s="17">
        <v>32.539000000000001</v>
      </c>
      <c r="D36" s="13" t="s">
        <v>138</v>
      </c>
      <c r="E36" s="11">
        <v>508498</v>
      </c>
      <c r="F36" s="349" t="s">
        <v>139</v>
      </c>
      <c r="G36" s="33">
        <f t="shared" si="4"/>
        <v>5332.5349034476703</v>
      </c>
      <c r="I36" s="34" t="s">
        <v>138</v>
      </c>
      <c r="J36" s="54">
        <v>508498</v>
      </c>
      <c r="K36" s="10" t="s">
        <v>139</v>
      </c>
      <c r="L36" s="54">
        <v>5332.5349034476703</v>
      </c>
      <c r="M36" s="20">
        <f t="shared" si="5"/>
        <v>32.539000000000001</v>
      </c>
      <c r="N36" s="21">
        <f t="shared" si="3"/>
        <v>0</v>
      </c>
      <c r="T36" s="12"/>
      <c r="U36" s="11"/>
      <c r="V36" s="11"/>
    </row>
    <row r="37" spans="2:22" ht="27" customHeight="1" outlineLevel="1" x14ac:dyDescent="0.25">
      <c r="B37" s="32" t="s">
        <v>144</v>
      </c>
      <c r="C37" s="17">
        <v>4.625</v>
      </c>
      <c r="D37" s="13" t="s">
        <v>138</v>
      </c>
      <c r="E37" s="11">
        <v>97169</v>
      </c>
      <c r="F37" s="349" t="s">
        <v>139</v>
      </c>
      <c r="G37" s="33">
        <f t="shared" si="4"/>
        <v>3966.4570662111032</v>
      </c>
      <c r="I37" s="34" t="s">
        <v>138</v>
      </c>
      <c r="J37" s="54">
        <v>97169</v>
      </c>
      <c r="K37" s="10" t="s">
        <v>139</v>
      </c>
      <c r="L37" s="54">
        <v>3966.4570662111032</v>
      </c>
      <c r="M37" s="20">
        <f t="shared" si="5"/>
        <v>4.625</v>
      </c>
      <c r="N37" s="21">
        <f t="shared" si="3"/>
        <v>0</v>
      </c>
      <c r="T37" s="12"/>
      <c r="U37" s="11"/>
      <c r="V37" s="11"/>
    </row>
    <row r="38" spans="2:22" ht="27" customHeight="1" outlineLevel="1" x14ac:dyDescent="0.25">
      <c r="B38" s="32" t="s">
        <v>145</v>
      </c>
      <c r="C38" s="17">
        <v>6.1920000000000002</v>
      </c>
      <c r="D38" s="13" t="s">
        <v>138</v>
      </c>
      <c r="E38" s="11">
        <v>41951</v>
      </c>
      <c r="F38" s="349" t="s">
        <v>139</v>
      </c>
      <c r="G38" s="33">
        <f t="shared" si="4"/>
        <v>12300.064360801887</v>
      </c>
      <c r="I38" s="34" t="s">
        <v>138</v>
      </c>
      <c r="J38" s="54">
        <v>41951</v>
      </c>
      <c r="K38" s="10" t="s">
        <v>139</v>
      </c>
      <c r="L38" s="54">
        <v>12300.064360801887</v>
      </c>
      <c r="M38" s="20">
        <f t="shared" si="5"/>
        <v>6.1920000000000002</v>
      </c>
      <c r="N38" s="21">
        <f t="shared" si="3"/>
        <v>0</v>
      </c>
      <c r="T38" s="12"/>
      <c r="U38" s="11"/>
      <c r="V38" s="11"/>
    </row>
    <row r="39" spans="2:22" ht="27" customHeight="1" outlineLevel="1" x14ac:dyDescent="0.25">
      <c r="B39" s="32" t="s">
        <v>146</v>
      </c>
      <c r="C39" s="17">
        <v>1E-3</v>
      </c>
      <c r="G39" s="18"/>
      <c r="I39" s="19" t="s">
        <v>115</v>
      </c>
      <c r="J39" s="54">
        <v>0</v>
      </c>
      <c r="M39" s="20">
        <f>C39+J39/100*C39</f>
        <v>1E-3</v>
      </c>
      <c r="N39" s="21">
        <f t="shared" si="3"/>
        <v>0</v>
      </c>
    </row>
    <row r="40" spans="2:22" ht="27" customHeight="1" outlineLevel="1" x14ac:dyDescent="0.25">
      <c r="B40" s="16" t="s">
        <v>147</v>
      </c>
      <c r="C40" s="17"/>
      <c r="D40" s="9"/>
      <c r="G40" s="18"/>
      <c r="I40" s="19"/>
      <c r="M40" s="20"/>
      <c r="N40" s="21"/>
    </row>
    <row r="41" spans="2:22" ht="27" customHeight="1" outlineLevel="1" x14ac:dyDescent="0.25">
      <c r="B41" s="32" t="s">
        <v>148</v>
      </c>
      <c r="C41" s="17">
        <v>33.323</v>
      </c>
      <c r="G41" s="18"/>
      <c r="I41" s="19" t="s">
        <v>115</v>
      </c>
      <c r="J41" s="54">
        <v>0</v>
      </c>
      <c r="M41" s="20">
        <f>C41+J41/100*C41</f>
        <v>33.323</v>
      </c>
      <c r="N41" s="21">
        <f>M41-C41</f>
        <v>0</v>
      </c>
    </row>
    <row r="42" spans="2:22" ht="27" customHeight="1" outlineLevel="1" x14ac:dyDescent="0.25">
      <c r="B42" s="32" t="s">
        <v>149</v>
      </c>
      <c r="C42" s="17">
        <v>2.5</v>
      </c>
      <c r="G42" s="18"/>
      <c r="I42" s="19" t="s">
        <v>115</v>
      </c>
      <c r="J42" s="54">
        <v>0</v>
      </c>
      <c r="M42" s="20">
        <f>C42+J42/100*C42</f>
        <v>2.5</v>
      </c>
      <c r="N42" s="21">
        <f>M42-C42</f>
        <v>0</v>
      </c>
    </row>
    <row r="43" spans="2:22" ht="27" customHeight="1" outlineLevel="1" x14ac:dyDescent="0.25">
      <c r="B43" s="32" t="s">
        <v>150</v>
      </c>
      <c r="C43" s="17">
        <v>10.3</v>
      </c>
      <c r="G43" s="18"/>
      <c r="I43" s="19" t="s">
        <v>115</v>
      </c>
      <c r="J43" s="54">
        <v>0</v>
      </c>
      <c r="M43" s="20">
        <f>C43+J43/100*C43</f>
        <v>10.3</v>
      </c>
      <c r="N43" s="21">
        <f>M43-C43</f>
        <v>0</v>
      </c>
    </row>
    <row r="44" spans="2:22" ht="27" customHeight="1" outlineLevel="1" x14ac:dyDescent="0.25">
      <c r="B44" s="32" t="s">
        <v>151</v>
      </c>
      <c r="C44" s="17">
        <v>0.877</v>
      </c>
      <c r="G44" s="18"/>
      <c r="I44" s="19" t="s">
        <v>115</v>
      </c>
      <c r="J44" s="54">
        <v>0</v>
      </c>
      <c r="M44" s="20">
        <f>C44+J44/100*C44</f>
        <v>0.877</v>
      </c>
      <c r="N44" s="21">
        <f>M44-C44</f>
        <v>0</v>
      </c>
    </row>
    <row r="45" spans="2:22" ht="27" customHeight="1" outlineLevel="1" x14ac:dyDescent="0.25">
      <c r="B45" s="16" t="s">
        <v>152</v>
      </c>
      <c r="C45" s="17"/>
      <c r="G45" s="18"/>
      <c r="I45" s="19"/>
      <c r="M45" s="20"/>
      <c r="N45" s="21"/>
    </row>
    <row r="46" spans="2:22" ht="27" customHeight="1" outlineLevel="1" x14ac:dyDescent="0.25">
      <c r="B46" s="35" t="s">
        <v>153</v>
      </c>
      <c r="C46" s="17">
        <v>5</v>
      </c>
      <c r="D46" s="8"/>
      <c r="G46" s="18"/>
      <c r="I46" s="19" t="s">
        <v>115</v>
      </c>
      <c r="J46" s="54">
        <v>0</v>
      </c>
      <c r="M46" s="20">
        <f>C46+J46/100*C46</f>
        <v>5</v>
      </c>
      <c r="N46" s="21">
        <f>M46-C46</f>
        <v>0</v>
      </c>
    </row>
    <row r="47" spans="2:22" ht="27" customHeight="1" outlineLevel="1" x14ac:dyDescent="0.25">
      <c r="B47" s="35" t="s">
        <v>154</v>
      </c>
      <c r="C47" s="17">
        <v>32</v>
      </c>
      <c r="D47" s="10" t="s">
        <v>155</v>
      </c>
      <c r="E47" s="11">
        <v>350000</v>
      </c>
      <c r="G47" s="18"/>
      <c r="I47" s="19" t="s">
        <v>155</v>
      </c>
      <c r="J47" s="54">
        <v>350000</v>
      </c>
      <c r="M47" s="20">
        <f>J47/E47*C47</f>
        <v>32</v>
      </c>
      <c r="N47" s="21">
        <f>M47-C47</f>
        <v>0</v>
      </c>
    </row>
    <row r="48" spans="2:22" ht="27" customHeight="1" outlineLevel="1" x14ac:dyDescent="0.25">
      <c r="B48" s="35" t="s">
        <v>156</v>
      </c>
      <c r="C48" s="17">
        <v>7</v>
      </c>
      <c r="G48" s="18"/>
      <c r="I48" s="19" t="s">
        <v>115</v>
      </c>
      <c r="J48" s="54">
        <v>0</v>
      </c>
      <c r="M48" s="20">
        <f>C48+J48/100*C48</f>
        <v>7</v>
      </c>
      <c r="N48" s="21">
        <f>M48-C48</f>
        <v>0</v>
      </c>
    </row>
    <row r="49" spans="2:14" ht="27" customHeight="1" outlineLevel="1" x14ac:dyDescent="0.25">
      <c r="B49" s="35" t="s">
        <v>157</v>
      </c>
      <c r="C49" s="17">
        <v>16.97789671</v>
      </c>
      <c r="G49" s="18"/>
      <c r="I49" s="19" t="s">
        <v>115</v>
      </c>
      <c r="J49" s="54">
        <v>0</v>
      </c>
      <c r="M49" s="20">
        <f>C49+J49/100*C49</f>
        <v>16.97789671</v>
      </c>
      <c r="N49" s="21">
        <f>M49-C49</f>
        <v>0</v>
      </c>
    </row>
    <row r="50" spans="2:14" ht="27" customHeight="1" outlineLevel="1" x14ac:dyDescent="0.25">
      <c r="B50" s="35" t="s">
        <v>158</v>
      </c>
      <c r="C50" s="17">
        <v>0.1915</v>
      </c>
      <c r="G50" s="18"/>
      <c r="I50" s="19" t="s">
        <v>115</v>
      </c>
      <c r="J50" s="54">
        <v>0</v>
      </c>
      <c r="M50" s="20">
        <f>C50+J50/100*C50</f>
        <v>0.1915</v>
      </c>
      <c r="N50" s="21">
        <f>M50-C50</f>
        <v>0</v>
      </c>
    </row>
    <row r="51" spans="2:14" ht="27" customHeight="1" outlineLevel="1" x14ac:dyDescent="0.25">
      <c r="B51" s="16" t="s">
        <v>159</v>
      </c>
      <c r="C51" s="17"/>
      <c r="G51" s="18"/>
      <c r="I51" s="19"/>
      <c r="M51" s="20"/>
      <c r="N51" s="21"/>
    </row>
    <row r="52" spans="2:14" ht="27" customHeight="1" outlineLevel="1" x14ac:dyDescent="0.25">
      <c r="B52" s="32" t="s">
        <v>160</v>
      </c>
      <c r="C52" s="17">
        <v>4.0999999999999996</v>
      </c>
      <c r="G52" s="18"/>
      <c r="I52" s="19" t="s">
        <v>115</v>
      </c>
      <c r="J52" s="54">
        <v>0</v>
      </c>
      <c r="M52" s="20">
        <f>C52+J52/100*C52</f>
        <v>4.0999999999999996</v>
      </c>
      <c r="N52" s="21">
        <f>M52-C52</f>
        <v>0</v>
      </c>
    </row>
    <row r="53" spans="2:14" ht="27" customHeight="1" outlineLevel="1" x14ac:dyDescent="0.25">
      <c r="B53" s="32" t="s">
        <v>161</v>
      </c>
      <c r="C53" s="17">
        <v>1.9</v>
      </c>
      <c r="G53" s="18"/>
      <c r="I53" s="19" t="s">
        <v>115</v>
      </c>
      <c r="J53" s="54">
        <v>0</v>
      </c>
      <c r="M53" s="20">
        <f>C53+J53/100*C53</f>
        <v>1.9</v>
      </c>
      <c r="N53" s="21">
        <f>M53-C53</f>
        <v>0</v>
      </c>
    </row>
    <row r="54" spans="2:14" ht="27" customHeight="1" outlineLevel="1" x14ac:dyDescent="0.25">
      <c r="B54" s="32" t="s">
        <v>162</v>
      </c>
      <c r="C54" s="17">
        <v>8.9</v>
      </c>
      <c r="G54" s="18"/>
      <c r="I54" s="19" t="s">
        <v>115</v>
      </c>
      <c r="J54" s="54">
        <v>0</v>
      </c>
      <c r="M54" s="20">
        <f>C54+J54/100*C54</f>
        <v>8.9</v>
      </c>
      <c r="N54" s="21">
        <f>M54-C54</f>
        <v>0</v>
      </c>
    </row>
    <row r="55" spans="2:14" ht="27" customHeight="1" outlineLevel="1" x14ac:dyDescent="0.25">
      <c r="B55" s="16" t="s">
        <v>163</v>
      </c>
      <c r="C55" s="17"/>
      <c r="G55" s="18"/>
      <c r="I55" s="19"/>
      <c r="M55" s="20"/>
      <c r="N55" s="21"/>
    </row>
    <row r="56" spans="2:14" ht="27" customHeight="1" outlineLevel="1" x14ac:dyDescent="0.25">
      <c r="B56" s="32" t="s">
        <v>164</v>
      </c>
      <c r="C56" s="17">
        <v>2.948</v>
      </c>
      <c r="G56" s="18"/>
      <c r="I56" s="19" t="s">
        <v>115</v>
      </c>
      <c r="J56" s="54">
        <v>0</v>
      </c>
      <c r="M56" s="20">
        <f t="shared" ref="M56:M63" si="6">C56+J56/100*C56</f>
        <v>2.948</v>
      </c>
      <c r="N56" s="21">
        <f t="shared" ref="N56:N63" si="7">M56-C56</f>
        <v>0</v>
      </c>
    </row>
    <row r="57" spans="2:14" ht="27" customHeight="1" outlineLevel="1" x14ac:dyDescent="0.25">
      <c r="B57" s="32" t="s">
        <v>165</v>
      </c>
      <c r="C57" s="17">
        <v>0.97</v>
      </c>
      <c r="G57" s="18"/>
      <c r="I57" s="19" t="s">
        <v>115</v>
      </c>
      <c r="J57" s="54">
        <v>0</v>
      </c>
      <c r="M57" s="20">
        <f t="shared" si="6"/>
        <v>0.97</v>
      </c>
      <c r="N57" s="21">
        <f t="shared" si="7"/>
        <v>0</v>
      </c>
    </row>
    <row r="58" spans="2:14" ht="27" customHeight="1" outlineLevel="1" x14ac:dyDescent="0.25">
      <c r="B58" s="32" t="s">
        <v>166</v>
      </c>
      <c r="C58" s="17">
        <v>45.015482820000003</v>
      </c>
      <c r="G58" s="18"/>
      <c r="I58" s="19" t="s">
        <v>115</v>
      </c>
      <c r="J58" s="54">
        <v>0</v>
      </c>
      <c r="M58" s="20">
        <f t="shared" si="6"/>
        <v>45.015482820000003</v>
      </c>
      <c r="N58" s="21">
        <f t="shared" si="7"/>
        <v>0</v>
      </c>
    </row>
    <row r="59" spans="2:14" ht="27" customHeight="1" outlineLevel="1" x14ac:dyDescent="0.25">
      <c r="B59" s="32" t="s">
        <v>167</v>
      </c>
      <c r="C59" s="17">
        <v>0.27</v>
      </c>
      <c r="G59" s="18"/>
      <c r="I59" s="19" t="s">
        <v>115</v>
      </c>
      <c r="J59" s="54">
        <v>0</v>
      </c>
      <c r="M59" s="20">
        <f t="shared" si="6"/>
        <v>0.27</v>
      </c>
      <c r="N59" s="21">
        <f t="shared" si="7"/>
        <v>0</v>
      </c>
    </row>
    <row r="60" spans="2:14" ht="27" customHeight="1" outlineLevel="1" x14ac:dyDescent="0.25">
      <c r="B60" s="32" t="s">
        <v>168</v>
      </c>
      <c r="C60" s="17">
        <v>0.443</v>
      </c>
      <c r="D60" s="8"/>
      <c r="G60" s="18"/>
      <c r="I60" s="19" t="s">
        <v>115</v>
      </c>
      <c r="J60" s="54">
        <v>0</v>
      </c>
      <c r="M60" s="20">
        <f t="shared" si="6"/>
        <v>0.443</v>
      </c>
      <c r="N60" s="21">
        <f t="shared" si="7"/>
        <v>0</v>
      </c>
    </row>
    <row r="61" spans="2:14" ht="27" customHeight="1" outlineLevel="1" x14ac:dyDescent="0.25">
      <c r="B61" s="32" t="s">
        <v>169</v>
      </c>
      <c r="C61" s="17">
        <v>12</v>
      </c>
      <c r="G61" s="18"/>
      <c r="I61" s="19" t="s">
        <v>115</v>
      </c>
      <c r="J61" s="54">
        <v>0</v>
      </c>
      <c r="M61" s="20">
        <f t="shared" si="6"/>
        <v>12</v>
      </c>
      <c r="N61" s="21">
        <f t="shared" si="7"/>
        <v>0</v>
      </c>
    </row>
    <row r="62" spans="2:14" ht="27" customHeight="1" outlineLevel="1" x14ac:dyDescent="0.25">
      <c r="B62" s="32" t="s">
        <v>170</v>
      </c>
      <c r="C62" s="17">
        <v>1.8104955</v>
      </c>
      <c r="D62" s="8"/>
      <c r="G62" s="18"/>
      <c r="I62" s="19" t="s">
        <v>115</v>
      </c>
      <c r="J62" s="54">
        <v>0</v>
      </c>
      <c r="M62" s="20">
        <f t="shared" si="6"/>
        <v>1.8104955</v>
      </c>
      <c r="N62" s="21">
        <f t="shared" si="7"/>
        <v>0</v>
      </c>
    </row>
    <row r="63" spans="2:14" ht="27" customHeight="1" outlineLevel="1" x14ac:dyDescent="0.25">
      <c r="B63" s="32" t="s">
        <v>171</v>
      </c>
      <c r="C63" s="17">
        <v>12.946257792000001</v>
      </c>
      <c r="D63" s="8"/>
      <c r="G63" s="18"/>
      <c r="I63" s="19" t="s">
        <v>115</v>
      </c>
      <c r="J63" s="54">
        <v>0</v>
      </c>
      <c r="M63" s="20">
        <f t="shared" si="6"/>
        <v>12.946257792000001</v>
      </c>
      <c r="N63" s="21">
        <f t="shared" si="7"/>
        <v>0</v>
      </c>
    </row>
    <row r="64" spans="2:14" ht="27" customHeight="1" outlineLevel="1" x14ac:dyDescent="0.25">
      <c r="B64" s="16" t="s">
        <v>172</v>
      </c>
      <c r="C64" s="17"/>
      <c r="G64" s="18"/>
      <c r="I64" s="19"/>
      <c r="M64" s="20"/>
      <c r="N64" s="21"/>
    </row>
    <row r="65" spans="2:14" ht="27" customHeight="1" outlineLevel="1" x14ac:dyDescent="0.25">
      <c r="B65" s="32" t="s">
        <v>383</v>
      </c>
      <c r="C65" s="17">
        <v>9.5</v>
      </c>
      <c r="D65" s="8"/>
      <c r="G65" s="18"/>
      <c r="I65" s="19" t="s">
        <v>115</v>
      </c>
      <c r="J65" s="54">
        <v>0</v>
      </c>
      <c r="M65" s="20">
        <f>C65+J65/100*C65</f>
        <v>9.5</v>
      </c>
      <c r="N65" s="21">
        <f>M65-C65</f>
        <v>0</v>
      </c>
    </row>
    <row r="66" spans="2:14" ht="27" customHeight="1" outlineLevel="1" x14ac:dyDescent="0.25">
      <c r="B66" s="36" t="s">
        <v>173</v>
      </c>
      <c r="C66" s="65">
        <f>C30-SUM(C32:C65)</f>
        <v>21.711703710000165</v>
      </c>
      <c r="D66" s="59"/>
      <c r="E66" s="24"/>
      <c r="F66" s="23"/>
      <c r="G66" s="25"/>
      <c r="H66" s="26"/>
      <c r="I66" s="27" t="s">
        <v>115</v>
      </c>
      <c r="J66" s="54">
        <v>0</v>
      </c>
      <c r="K66" s="28"/>
      <c r="L66" s="24"/>
      <c r="M66" s="29">
        <f>C66+J66/100*C66</f>
        <v>21.711703710000165</v>
      </c>
      <c r="N66" s="30">
        <f>M66-C66</f>
        <v>0</v>
      </c>
    </row>
    <row r="67" spans="2:14" ht="27" customHeight="1" x14ac:dyDescent="0.25">
      <c r="B67" s="393" t="s">
        <v>174</v>
      </c>
      <c r="C67" s="394">
        <f>SUM(C68:C100)</f>
        <v>737.72815655400029</v>
      </c>
      <c r="D67" s="395"/>
      <c r="E67" s="406"/>
      <c r="F67" s="395"/>
      <c r="G67" s="397"/>
      <c r="H67" s="398"/>
      <c r="I67" s="399"/>
      <c r="J67" s="400"/>
      <c r="K67" s="401"/>
      <c r="L67" s="396"/>
      <c r="M67" s="405">
        <f>SUM(M68:M100)</f>
        <v>737.728156552001</v>
      </c>
      <c r="N67" s="403">
        <f>M67-C67</f>
        <v>-1.9992967281723395E-9</v>
      </c>
    </row>
    <row r="68" spans="2:14" ht="27" customHeight="1" outlineLevel="1" x14ac:dyDescent="0.25">
      <c r="B68" s="16" t="s">
        <v>175</v>
      </c>
      <c r="C68" s="17"/>
      <c r="G68" s="18"/>
      <c r="I68" s="19"/>
      <c r="M68" s="20"/>
      <c r="N68" s="21"/>
    </row>
    <row r="69" spans="2:14" ht="27" customHeight="1" outlineLevel="1" x14ac:dyDescent="0.25">
      <c r="B69" s="60" t="s">
        <v>176</v>
      </c>
      <c r="C69" s="17">
        <v>6.5742980979999999</v>
      </c>
      <c r="G69" s="18"/>
      <c r="I69" s="19" t="s">
        <v>115</v>
      </c>
      <c r="J69" s="54">
        <v>0</v>
      </c>
      <c r="M69" s="20">
        <f t="shared" ref="M69:M75" si="8">C69+J69/100*C69</f>
        <v>6.5742980979999999</v>
      </c>
      <c r="N69" s="21">
        <f t="shared" ref="N69:N75" si="9">M69-C69</f>
        <v>0</v>
      </c>
    </row>
    <row r="70" spans="2:14" ht="27" customHeight="1" outlineLevel="1" x14ac:dyDescent="0.25">
      <c r="B70" s="60" t="s">
        <v>177</v>
      </c>
      <c r="C70" s="17">
        <v>1.433333333</v>
      </c>
      <c r="E70" s="353"/>
      <c r="G70" s="18"/>
      <c r="I70" s="19" t="s">
        <v>115</v>
      </c>
      <c r="J70" s="54">
        <v>0</v>
      </c>
      <c r="M70" s="20">
        <f t="shared" si="8"/>
        <v>1.433333333</v>
      </c>
      <c r="N70" s="21">
        <f t="shared" si="9"/>
        <v>0</v>
      </c>
    </row>
    <row r="71" spans="2:14" ht="27" customHeight="1" outlineLevel="1" x14ac:dyDescent="0.25">
      <c r="B71" s="60" t="s">
        <v>178</v>
      </c>
      <c r="C71" s="17">
        <v>3.4759055399999998</v>
      </c>
      <c r="G71" s="18"/>
      <c r="I71" s="19" t="s">
        <v>115</v>
      </c>
      <c r="J71" s="54">
        <v>0</v>
      </c>
      <c r="M71" s="20">
        <f t="shared" si="8"/>
        <v>3.4759055399999998</v>
      </c>
      <c r="N71" s="21">
        <f t="shared" si="9"/>
        <v>0</v>
      </c>
    </row>
    <row r="72" spans="2:14" ht="27" customHeight="1" outlineLevel="1" x14ac:dyDescent="0.25">
      <c r="B72" s="60" t="s">
        <v>179</v>
      </c>
      <c r="C72" s="17">
        <v>13.655936217000001</v>
      </c>
      <c r="G72" s="18"/>
      <c r="I72" s="19" t="s">
        <v>115</v>
      </c>
      <c r="J72" s="54">
        <v>0</v>
      </c>
      <c r="M72" s="20">
        <f t="shared" si="8"/>
        <v>13.655936217000001</v>
      </c>
      <c r="N72" s="21">
        <f t="shared" si="9"/>
        <v>0</v>
      </c>
    </row>
    <row r="73" spans="2:14" ht="27" customHeight="1" outlineLevel="1" x14ac:dyDescent="0.25">
      <c r="B73" s="60" t="s">
        <v>180</v>
      </c>
      <c r="C73" s="17">
        <v>17.553554073000001</v>
      </c>
      <c r="G73" s="18"/>
      <c r="I73" s="19" t="s">
        <v>115</v>
      </c>
      <c r="J73" s="54">
        <v>0</v>
      </c>
      <c r="M73" s="20">
        <f t="shared" si="8"/>
        <v>17.553554073000001</v>
      </c>
      <c r="N73" s="21">
        <f t="shared" si="9"/>
        <v>0</v>
      </c>
    </row>
    <row r="74" spans="2:14" ht="27" customHeight="1" outlineLevel="1" x14ac:dyDescent="0.25">
      <c r="B74" s="60" t="s">
        <v>181</v>
      </c>
      <c r="C74" s="17">
        <v>3.1882135360000001</v>
      </c>
      <c r="G74" s="18"/>
      <c r="I74" s="19" t="s">
        <v>115</v>
      </c>
      <c r="J74" s="54">
        <v>0</v>
      </c>
      <c r="M74" s="20">
        <f t="shared" si="8"/>
        <v>3.1882135360000001</v>
      </c>
      <c r="N74" s="21">
        <f t="shared" si="9"/>
        <v>0</v>
      </c>
    </row>
    <row r="75" spans="2:14" ht="27" customHeight="1" outlineLevel="1" x14ac:dyDescent="0.25">
      <c r="B75" s="60" t="s">
        <v>182</v>
      </c>
      <c r="C75" s="17">
        <v>1.281505691</v>
      </c>
      <c r="E75" s="11" t="s">
        <v>384</v>
      </c>
      <c r="G75" s="18"/>
      <c r="I75" s="19" t="s">
        <v>115</v>
      </c>
      <c r="J75" s="54">
        <v>0</v>
      </c>
      <c r="M75" s="20">
        <f t="shared" si="8"/>
        <v>1.281505691</v>
      </c>
      <c r="N75" s="21">
        <f t="shared" si="9"/>
        <v>0</v>
      </c>
    </row>
    <row r="76" spans="2:14" ht="27" customHeight="1" outlineLevel="1" x14ac:dyDescent="0.25">
      <c r="B76" s="16" t="s">
        <v>183</v>
      </c>
      <c r="C76" s="17"/>
      <c r="G76" s="18"/>
      <c r="I76" s="19"/>
      <c r="M76" s="20"/>
      <c r="N76" s="21"/>
    </row>
    <row r="77" spans="2:14" ht="27" customHeight="1" outlineLevel="1" x14ac:dyDescent="0.25">
      <c r="B77" s="60" t="s">
        <v>184</v>
      </c>
      <c r="C77" s="17">
        <v>2.1513053960000001</v>
      </c>
      <c r="D77" s="354"/>
      <c r="G77" s="18"/>
      <c r="I77" s="19" t="s">
        <v>115</v>
      </c>
      <c r="J77" s="54">
        <v>0</v>
      </c>
      <c r="M77" s="20">
        <f t="shared" ref="M77:M83" si="10">C77+J77/100*C77</f>
        <v>2.1513053960000001</v>
      </c>
      <c r="N77" s="21">
        <f t="shared" ref="N77:N103" si="11">M77-C77</f>
        <v>0</v>
      </c>
    </row>
    <row r="78" spans="2:14" ht="27" customHeight="1" outlineLevel="1" x14ac:dyDescent="0.25">
      <c r="B78" s="60" t="s">
        <v>179</v>
      </c>
      <c r="C78" s="17">
        <v>1.0449999999999999</v>
      </c>
      <c r="D78" s="8"/>
      <c r="G78" s="18"/>
      <c r="I78" s="19" t="s">
        <v>115</v>
      </c>
      <c r="J78" s="54">
        <v>0</v>
      </c>
      <c r="M78" s="20">
        <f t="shared" si="10"/>
        <v>1.0449999999999999</v>
      </c>
      <c r="N78" s="21">
        <f t="shared" si="11"/>
        <v>0</v>
      </c>
    </row>
    <row r="79" spans="2:14" ht="27" customHeight="1" outlineLevel="1" x14ac:dyDescent="0.25">
      <c r="B79" s="60" t="s">
        <v>185</v>
      </c>
      <c r="C79" s="17">
        <v>11.664831895000001</v>
      </c>
      <c r="G79" s="18"/>
      <c r="I79" s="19" t="s">
        <v>115</v>
      </c>
      <c r="J79" s="54">
        <v>0</v>
      </c>
      <c r="M79" s="20">
        <f t="shared" si="10"/>
        <v>11.664831895000001</v>
      </c>
      <c r="N79" s="21">
        <f t="shared" si="11"/>
        <v>0</v>
      </c>
    </row>
    <row r="80" spans="2:14" ht="27" customHeight="1" outlineLevel="1" x14ac:dyDescent="0.25">
      <c r="B80" s="60" t="s">
        <v>186</v>
      </c>
      <c r="C80" s="17">
        <v>6.6250437980000001</v>
      </c>
      <c r="G80" s="18"/>
      <c r="I80" s="19" t="s">
        <v>115</v>
      </c>
      <c r="J80" s="54">
        <v>0</v>
      </c>
      <c r="M80" s="20">
        <f t="shared" si="10"/>
        <v>6.6250437980000001</v>
      </c>
      <c r="N80" s="21">
        <f t="shared" si="11"/>
        <v>0</v>
      </c>
    </row>
    <row r="81" spans="2:14" ht="27" customHeight="1" outlineLevel="1" x14ac:dyDescent="0.25">
      <c r="B81" s="60" t="s">
        <v>187</v>
      </c>
      <c r="C81" s="17">
        <v>3.0330700130000001</v>
      </c>
      <c r="G81" s="18"/>
      <c r="I81" s="19" t="s">
        <v>115</v>
      </c>
      <c r="J81" s="54">
        <v>0</v>
      </c>
      <c r="M81" s="20">
        <f t="shared" si="10"/>
        <v>3.0330700130000001</v>
      </c>
      <c r="N81" s="21">
        <f t="shared" si="11"/>
        <v>0</v>
      </c>
    </row>
    <row r="82" spans="2:14" ht="27" customHeight="1" outlineLevel="1" x14ac:dyDescent="0.25">
      <c r="B82" s="60" t="s">
        <v>182</v>
      </c>
      <c r="C82" s="17">
        <v>3.084606854</v>
      </c>
      <c r="F82" s="355"/>
      <c r="G82" s="18"/>
      <c r="I82" s="19" t="s">
        <v>115</v>
      </c>
      <c r="J82" s="54">
        <v>0</v>
      </c>
      <c r="M82" s="20">
        <f t="shared" si="10"/>
        <v>3.084606854</v>
      </c>
      <c r="N82" s="21">
        <f t="shared" si="11"/>
        <v>0</v>
      </c>
    </row>
    <row r="83" spans="2:14" ht="27" customHeight="1" outlineLevel="1" x14ac:dyDescent="0.25">
      <c r="B83" s="16" t="s">
        <v>385</v>
      </c>
      <c r="C83" s="17">
        <v>62.709669607999999</v>
      </c>
      <c r="D83" s="8"/>
      <c r="G83" s="18"/>
      <c r="I83" s="19" t="s">
        <v>115</v>
      </c>
      <c r="J83" s="54">
        <v>0</v>
      </c>
      <c r="M83" s="20">
        <f t="shared" si="10"/>
        <v>62.709669607999999</v>
      </c>
      <c r="N83" s="21">
        <f t="shared" si="11"/>
        <v>0</v>
      </c>
    </row>
    <row r="84" spans="2:14" ht="27" customHeight="1" outlineLevel="1" x14ac:dyDescent="0.25">
      <c r="B84" s="16" t="s">
        <v>188</v>
      </c>
      <c r="C84" s="17">
        <v>154.63087524599999</v>
      </c>
      <c r="D84" s="10" t="s">
        <v>189</v>
      </c>
      <c r="E84" s="11">
        <f>C84*1000000000/(G84*12)</f>
        <v>6058254.0058768215</v>
      </c>
      <c r="F84" s="10" t="s">
        <v>190</v>
      </c>
      <c r="G84" s="18">
        <v>2127</v>
      </c>
      <c r="I84" s="19" t="s">
        <v>189</v>
      </c>
      <c r="J84" s="54">
        <v>6058254.0058768215</v>
      </c>
      <c r="K84" s="10" t="s">
        <v>190</v>
      </c>
      <c r="L84" s="54">
        <v>2127</v>
      </c>
      <c r="M84" s="20">
        <f>J84*L84*12/1000000000</f>
        <v>154.63087524599999</v>
      </c>
      <c r="N84" s="21">
        <f t="shared" si="11"/>
        <v>0</v>
      </c>
    </row>
    <row r="85" spans="2:14" ht="27" customHeight="1" outlineLevel="1" x14ac:dyDescent="0.25">
      <c r="B85" s="67" t="s">
        <v>191</v>
      </c>
      <c r="C85" s="17">
        <v>3.0376727999999999E-2</v>
      </c>
      <c r="G85" s="18"/>
      <c r="I85" s="19" t="s">
        <v>115</v>
      </c>
      <c r="J85" s="54">
        <v>0</v>
      </c>
      <c r="M85" s="20">
        <f>C85+J85/100*C85</f>
        <v>3.0376727999999999E-2</v>
      </c>
      <c r="N85" s="21">
        <f t="shared" si="11"/>
        <v>0</v>
      </c>
    </row>
    <row r="86" spans="2:14" ht="27" customHeight="1" outlineLevel="1" x14ac:dyDescent="0.25">
      <c r="B86" s="16" t="s">
        <v>192</v>
      </c>
      <c r="C86" s="17">
        <f>252.900742004-C87-C88</f>
        <v>43.721431192000004</v>
      </c>
      <c r="D86" s="8"/>
      <c r="E86" s="351"/>
      <c r="G86" s="18"/>
      <c r="I86" s="19" t="s">
        <v>115</v>
      </c>
      <c r="J86" s="54">
        <v>0</v>
      </c>
      <c r="M86" s="20">
        <f>C86+J86/100*C86</f>
        <v>43.721431192000004</v>
      </c>
      <c r="N86" s="21">
        <f t="shared" si="11"/>
        <v>0</v>
      </c>
    </row>
    <row r="87" spans="2:14" ht="27" customHeight="1" outlineLevel="1" x14ac:dyDescent="0.25">
      <c r="B87" s="16" t="s">
        <v>193</v>
      </c>
      <c r="C87" s="17">
        <v>196.38109887499999</v>
      </c>
      <c r="D87" s="10" t="s">
        <v>109</v>
      </c>
      <c r="E87" s="11">
        <v>261870</v>
      </c>
      <c r="F87" s="13" t="s">
        <v>110</v>
      </c>
      <c r="G87" s="18">
        <f>143712578535/E87/12</f>
        <v>45732.799523618589</v>
      </c>
      <c r="I87" s="19" t="s">
        <v>109</v>
      </c>
      <c r="J87" s="54">
        <v>261870</v>
      </c>
      <c r="K87" s="13" t="s">
        <v>110</v>
      </c>
      <c r="L87" s="54">
        <v>45732.799523618589</v>
      </c>
      <c r="M87" s="64">
        <f>((J87*L87*12*1.35016830860595)+2344929787)/1000000000</f>
        <v>196.3810988730007</v>
      </c>
      <c r="N87" s="21">
        <f t="shared" si="11"/>
        <v>-1.9992967281723395E-9</v>
      </c>
    </row>
    <row r="88" spans="2:14" ht="27" customHeight="1" outlineLevel="1" x14ac:dyDescent="0.25">
      <c r="B88" s="16" t="s">
        <v>194</v>
      </c>
      <c r="C88" s="17">
        <v>12.798211937</v>
      </c>
      <c r="D88" s="356"/>
      <c r="G88" s="18"/>
      <c r="I88" s="19" t="s">
        <v>115</v>
      </c>
      <c r="J88" s="54">
        <v>0</v>
      </c>
      <c r="M88" s="20">
        <f t="shared" ref="M88:M100" si="12">C88+J88/100*C88</f>
        <v>12.798211937</v>
      </c>
      <c r="N88" s="21">
        <f t="shared" si="11"/>
        <v>0</v>
      </c>
    </row>
    <row r="89" spans="2:14" ht="27" customHeight="1" outlineLevel="1" x14ac:dyDescent="0.25">
      <c r="B89" s="16" t="s">
        <v>195</v>
      </c>
      <c r="C89" s="17">
        <v>11.5058097</v>
      </c>
      <c r="G89" s="18"/>
      <c r="I89" s="19" t="s">
        <v>115</v>
      </c>
      <c r="J89" s="54">
        <v>0</v>
      </c>
      <c r="K89" s="407"/>
      <c r="M89" s="20">
        <f t="shared" si="12"/>
        <v>11.5058097</v>
      </c>
      <c r="N89" s="21">
        <f t="shared" si="11"/>
        <v>0</v>
      </c>
    </row>
    <row r="90" spans="2:14" ht="27" customHeight="1" outlineLevel="1" x14ac:dyDescent="0.25">
      <c r="B90" s="16" t="s">
        <v>196</v>
      </c>
      <c r="C90" s="17">
        <v>2.2351594000000001</v>
      </c>
      <c r="G90" s="18"/>
      <c r="I90" s="19" t="s">
        <v>115</v>
      </c>
      <c r="J90" s="54">
        <v>0</v>
      </c>
      <c r="M90" s="20">
        <f t="shared" si="12"/>
        <v>2.2351594000000001</v>
      </c>
      <c r="N90" s="21">
        <f t="shared" si="11"/>
        <v>0</v>
      </c>
    </row>
    <row r="91" spans="2:14" ht="27" customHeight="1" outlineLevel="1" x14ac:dyDescent="0.25">
      <c r="B91" s="16" t="s">
        <v>197</v>
      </c>
      <c r="C91" s="17">
        <v>30.826897709000001</v>
      </c>
      <c r="D91" s="8"/>
      <c r="G91" s="18"/>
      <c r="I91" s="19" t="s">
        <v>115</v>
      </c>
      <c r="J91" s="54">
        <v>0</v>
      </c>
      <c r="M91" s="20">
        <f t="shared" si="12"/>
        <v>30.826897709000001</v>
      </c>
      <c r="N91" s="21">
        <f t="shared" si="11"/>
        <v>0</v>
      </c>
    </row>
    <row r="92" spans="2:14" ht="27" customHeight="1" outlineLevel="1" x14ac:dyDescent="0.25">
      <c r="B92" s="16" t="s">
        <v>198</v>
      </c>
      <c r="C92" s="17">
        <v>51.029916593999999</v>
      </c>
      <c r="G92" s="18"/>
      <c r="I92" s="19" t="s">
        <v>115</v>
      </c>
      <c r="J92" s="54">
        <v>0</v>
      </c>
      <c r="M92" s="20">
        <f t="shared" si="12"/>
        <v>51.029916593999999</v>
      </c>
      <c r="N92" s="21">
        <f t="shared" si="11"/>
        <v>0</v>
      </c>
    </row>
    <row r="93" spans="2:14" ht="27" customHeight="1" outlineLevel="1" x14ac:dyDescent="0.25">
      <c r="B93" s="16" t="s">
        <v>199</v>
      </c>
      <c r="C93" s="17">
        <v>11.519743839</v>
      </c>
      <c r="G93" s="18"/>
      <c r="I93" s="19" t="s">
        <v>115</v>
      </c>
      <c r="J93" s="54">
        <v>0</v>
      </c>
      <c r="M93" s="20">
        <f t="shared" si="12"/>
        <v>11.519743839</v>
      </c>
      <c r="N93" s="21">
        <f t="shared" si="11"/>
        <v>0</v>
      </c>
    </row>
    <row r="94" spans="2:14" ht="27" customHeight="1" outlineLevel="1" x14ac:dyDescent="0.25">
      <c r="B94" s="16" t="s">
        <v>200</v>
      </c>
      <c r="C94" s="17">
        <v>1.289110803</v>
      </c>
      <c r="G94" s="18"/>
      <c r="I94" s="19" t="s">
        <v>115</v>
      </c>
      <c r="J94" s="54">
        <v>0</v>
      </c>
      <c r="M94" s="20">
        <f t="shared" si="12"/>
        <v>1.289110803</v>
      </c>
      <c r="N94" s="21">
        <f t="shared" si="11"/>
        <v>0</v>
      </c>
    </row>
    <row r="95" spans="2:14" ht="27" customHeight="1" outlineLevel="1" x14ac:dyDescent="0.25">
      <c r="B95" s="16" t="s">
        <v>201</v>
      </c>
      <c r="C95" s="17">
        <v>2.547492869</v>
      </c>
      <c r="D95" s="8"/>
      <c r="G95" s="18"/>
      <c r="I95" s="19" t="s">
        <v>115</v>
      </c>
      <c r="J95" s="54">
        <v>0</v>
      </c>
      <c r="M95" s="20">
        <f t="shared" si="12"/>
        <v>2.547492869</v>
      </c>
      <c r="N95" s="21">
        <f t="shared" si="11"/>
        <v>0</v>
      </c>
    </row>
    <row r="96" spans="2:14" ht="27" customHeight="1" outlineLevel="1" x14ac:dyDescent="0.25">
      <c r="B96" s="16" t="s">
        <v>202</v>
      </c>
      <c r="C96" s="17">
        <v>2.6196105840000001</v>
      </c>
      <c r="D96" s="8"/>
      <c r="G96" s="18"/>
      <c r="I96" s="19" t="s">
        <v>115</v>
      </c>
      <c r="J96" s="54">
        <v>0</v>
      </c>
      <c r="M96" s="20">
        <f t="shared" si="12"/>
        <v>2.6196105840000001</v>
      </c>
      <c r="N96" s="21">
        <f t="shared" si="11"/>
        <v>0</v>
      </c>
    </row>
    <row r="97" spans="2:14" ht="27" customHeight="1" outlineLevel="1" x14ac:dyDescent="0.25">
      <c r="B97" s="16" t="s">
        <v>203</v>
      </c>
      <c r="C97" s="17">
        <v>65</v>
      </c>
      <c r="D97" s="8"/>
      <c r="G97" s="18"/>
      <c r="I97" s="19" t="s">
        <v>115</v>
      </c>
      <c r="J97" s="54">
        <v>0</v>
      </c>
      <c r="M97" s="20">
        <f t="shared" si="12"/>
        <v>65</v>
      </c>
      <c r="N97" s="21">
        <f t="shared" si="11"/>
        <v>0</v>
      </c>
    </row>
    <row r="98" spans="2:14" ht="27" customHeight="1" outlineLevel="1" x14ac:dyDescent="0.25">
      <c r="B98" s="16" t="s">
        <v>204</v>
      </c>
      <c r="C98" s="17">
        <v>0.5</v>
      </c>
      <c r="G98" s="18"/>
      <c r="I98" s="19" t="s">
        <v>115</v>
      </c>
      <c r="J98" s="54">
        <v>0</v>
      </c>
      <c r="M98" s="20">
        <f t="shared" si="12"/>
        <v>0.5</v>
      </c>
      <c r="N98" s="21">
        <f t="shared" si="11"/>
        <v>0</v>
      </c>
    </row>
    <row r="99" spans="2:14" ht="27" customHeight="1" outlineLevel="1" x14ac:dyDescent="0.25">
      <c r="B99" s="16" t="s">
        <v>205</v>
      </c>
      <c r="C99" s="17">
        <v>7.9964285589999999</v>
      </c>
      <c r="G99" s="18"/>
      <c r="I99" s="19" t="s">
        <v>115</v>
      </c>
      <c r="J99" s="54">
        <v>0</v>
      </c>
      <c r="M99" s="20">
        <f t="shared" si="12"/>
        <v>7.9964285589999999</v>
      </c>
      <c r="N99" s="21">
        <f t="shared" si="11"/>
        <v>0</v>
      </c>
    </row>
    <row r="100" spans="2:14" ht="27" customHeight="1" outlineLevel="1" x14ac:dyDescent="0.25">
      <c r="B100" s="16" t="s">
        <v>206</v>
      </c>
      <c r="C100" s="17">
        <v>5.6197184670000002</v>
      </c>
      <c r="G100" s="18"/>
      <c r="I100" s="19" t="s">
        <v>115</v>
      </c>
      <c r="J100" s="54">
        <v>0</v>
      </c>
      <c r="M100" s="20">
        <f t="shared" si="12"/>
        <v>5.6197184670000002</v>
      </c>
      <c r="N100" s="21">
        <f t="shared" si="11"/>
        <v>0</v>
      </c>
    </row>
    <row r="101" spans="2:14" ht="27" customHeight="1" x14ac:dyDescent="0.25">
      <c r="B101" s="393" t="s">
        <v>207</v>
      </c>
      <c r="C101" s="394">
        <f>SUM(C102:C103)</f>
        <v>29.389772851000004</v>
      </c>
      <c r="D101" s="395"/>
      <c r="E101" s="396"/>
      <c r="F101" s="395"/>
      <c r="G101" s="397"/>
      <c r="H101" s="398"/>
      <c r="I101" s="399"/>
      <c r="J101" s="400"/>
      <c r="K101" s="401"/>
      <c r="L101" s="396"/>
      <c r="M101" s="405">
        <f>SUM(M102:M103)</f>
        <v>29.389772851000004</v>
      </c>
      <c r="N101" s="403">
        <f t="shared" si="11"/>
        <v>0</v>
      </c>
    </row>
    <row r="102" spans="2:14" ht="27" customHeight="1" outlineLevel="1" x14ac:dyDescent="0.25">
      <c r="B102" s="16" t="s">
        <v>208</v>
      </c>
      <c r="C102" s="17">
        <v>8.4033491720000004</v>
      </c>
      <c r="D102" s="8"/>
      <c r="G102" s="18"/>
      <c r="I102" s="19" t="s">
        <v>115</v>
      </c>
      <c r="J102" s="54">
        <v>0</v>
      </c>
      <c r="M102" s="20">
        <f>C102+J102/100*C102</f>
        <v>8.4033491720000004</v>
      </c>
      <c r="N102" s="21">
        <f t="shared" si="11"/>
        <v>0</v>
      </c>
    </row>
    <row r="103" spans="2:14" ht="27" customHeight="1" outlineLevel="1" x14ac:dyDescent="0.25">
      <c r="B103" s="16" t="s">
        <v>209</v>
      </c>
      <c r="C103" s="17">
        <v>20.986423679000001</v>
      </c>
      <c r="D103" s="8"/>
      <c r="G103" s="18"/>
      <c r="I103" s="19" t="s">
        <v>115</v>
      </c>
      <c r="J103" s="54">
        <v>0</v>
      </c>
      <c r="M103" s="20">
        <f>C103+J103/100*C103</f>
        <v>20.986423679000001</v>
      </c>
      <c r="N103" s="21">
        <f t="shared" si="11"/>
        <v>0</v>
      </c>
    </row>
    <row r="104" spans="2:14" ht="27" customHeight="1" x14ac:dyDescent="0.25">
      <c r="B104" s="393" t="s">
        <v>210</v>
      </c>
      <c r="C104" s="394">
        <f>SUM(C105:C106)</f>
        <v>98.903729975999994</v>
      </c>
      <c r="D104" s="395"/>
      <c r="E104" s="408"/>
      <c r="F104" s="395"/>
      <c r="G104" s="397"/>
      <c r="H104" s="398"/>
      <c r="I104" s="399"/>
      <c r="J104" s="400"/>
      <c r="K104" s="401"/>
      <c r="L104" s="396"/>
      <c r="M104" s="405">
        <f>SUM(M105:M106)</f>
        <v>98.903729975999994</v>
      </c>
      <c r="N104" s="403">
        <f>M104-C104</f>
        <v>0</v>
      </c>
    </row>
    <row r="105" spans="2:14" ht="27" customHeight="1" outlineLevel="1" x14ac:dyDescent="0.25">
      <c r="B105" s="16" t="s">
        <v>211</v>
      </c>
      <c r="C105" s="17">
        <v>97.495421798999999</v>
      </c>
      <c r="G105" s="18"/>
      <c r="I105" s="19" t="s">
        <v>115</v>
      </c>
      <c r="J105" s="54">
        <v>0</v>
      </c>
      <c r="M105" s="20">
        <f>C105+J105/100*C105</f>
        <v>97.495421798999999</v>
      </c>
      <c r="N105" s="21">
        <f>M105-C105</f>
        <v>0</v>
      </c>
    </row>
    <row r="106" spans="2:14" ht="27" customHeight="1" outlineLevel="1" x14ac:dyDescent="0.25">
      <c r="B106" s="22" t="s">
        <v>182</v>
      </c>
      <c r="C106" s="65">
        <v>1.4083081770000001</v>
      </c>
      <c r="D106" s="63"/>
      <c r="E106" s="24"/>
      <c r="F106" s="23"/>
      <c r="G106" s="25"/>
      <c r="H106" s="26"/>
      <c r="I106" s="27" t="s">
        <v>115</v>
      </c>
      <c r="J106" s="54">
        <v>0</v>
      </c>
      <c r="K106" s="28"/>
      <c r="L106" s="24"/>
      <c r="M106" s="29">
        <f>C106+J106/100*C106</f>
        <v>1.4083081770000001</v>
      </c>
      <c r="N106" s="30">
        <f>M106-C106</f>
        <v>0</v>
      </c>
    </row>
    <row r="107" spans="2:14" ht="27" customHeight="1" x14ac:dyDescent="0.25">
      <c r="B107" s="37" t="s">
        <v>212</v>
      </c>
      <c r="C107" s="415">
        <f>C104+C101+C67+C30+C13+C5</f>
        <v>2076.9250091390004</v>
      </c>
      <c r="D107" s="416"/>
      <c r="E107" s="427"/>
      <c r="F107" s="416"/>
      <c r="G107" s="418"/>
      <c r="H107" s="409"/>
      <c r="I107" s="410"/>
      <c r="J107" s="411"/>
      <c r="K107" s="412"/>
      <c r="L107" s="413"/>
      <c r="M107" s="414">
        <f>M104+M101+M67+M30+M13+M5</f>
        <v>2076.9250091370013</v>
      </c>
      <c r="N107" s="38">
        <f>M107-C107</f>
        <v>-1.9990693544968963E-9</v>
      </c>
    </row>
    <row r="108" spans="2:14" ht="27" customHeight="1" x14ac:dyDescent="0.25">
      <c r="B108" s="393" t="s">
        <v>213</v>
      </c>
      <c r="C108" s="394">
        <f>SUM(C109:C115)</f>
        <v>62.107821933999993</v>
      </c>
      <c r="D108" s="395"/>
      <c r="E108" s="396"/>
      <c r="F108" s="395"/>
      <c r="G108" s="397"/>
      <c r="H108" s="398"/>
      <c r="I108" s="399"/>
      <c r="J108" s="400"/>
      <c r="K108" s="401"/>
      <c r="L108" s="396"/>
      <c r="M108" s="405">
        <f>SUM(M109:M115)</f>
        <v>62.107821933999993</v>
      </c>
      <c r="N108" s="403">
        <f t="shared" ref="N108:N115" si="13">M108-C108</f>
        <v>0</v>
      </c>
    </row>
    <row r="109" spans="2:14" ht="27" customHeight="1" outlineLevel="1" x14ac:dyDescent="0.25">
      <c r="B109" s="16" t="s">
        <v>214</v>
      </c>
      <c r="C109" s="17">
        <v>4.7204254810000004</v>
      </c>
      <c r="G109" s="18"/>
      <c r="I109" s="19" t="s">
        <v>115</v>
      </c>
      <c r="J109" s="54">
        <v>0</v>
      </c>
      <c r="M109" s="20">
        <f t="shared" ref="M109:M115" si="14">C109+J109/100*C109</f>
        <v>4.7204254810000004</v>
      </c>
      <c r="N109" s="21">
        <f t="shared" si="13"/>
        <v>0</v>
      </c>
    </row>
    <row r="110" spans="2:14" ht="27" customHeight="1" outlineLevel="1" x14ac:dyDescent="0.25">
      <c r="B110" s="16" t="s">
        <v>182</v>
      </c>
      <c r="C110" s="17">
        <v>2.3838706420000002</v>
      </c>
      <c r="G110" s="18"/>
      <c r="I110" s="19" t="s">
        <v>115</v>
      </c>
      <c r="J110" s="54">
        <v>0</v>
      </c>
      <c r="M110" s="20">
        <f t="shared" si="14"/>
        <v>2.3838706420000002</v>
      </c>
      <c r="N110" s="21">
        <f t="shared" si="13"/>
        <v>0</v>
      </c>
    </row>
    <row r="111" spans="2:14" ht="27" customHeight="1" outlineLevel="1" x14ac:dyDescent="0.25">
      <c r="B111" s="16" t="s">
        <v>215</v>
      </c>
      <c r="C111" s="17">
        <v>13.975532769000001</v>
      </c>
      <c r="G111" s="18"/>
      <c r="I111" s="19" t="s">
        <v>115</v>
      </c>
      <c r="J111" s="54">
        <v>0</v>
      </c>
      <c r="M111" s="20">
        <f t="shared" si="14"/>
        <v>13.975532769000001</v>
      </c>
      <c r="N111" s="21">
        <f t="shared" si="13"/>
        <v>0</v>
      </c>
    </row>
    <row r="112" spans="2:14" ht="27" customHeight="1" outlineLevel="1" x14ac:dyDescent="0.25">
      <c r="B112" s="16" t="s">
        <v>216</v>
      </c>
      <c r="C112" s="17">
        <v>32.345169102</v>
      </c>
      <c r="G112" s="18"/>
      <c r="I112" s="19" t="s">
        <v>115</v>
      </c>
      <c r="J112" s="54">
        <v>0</v>
      </c>
      <c r="M112" s="20">
        <f t="shared" si="14"/>
        <v>32.345169102</v>
      </c>
      <c r="N112" s="21">
        <f t="shared" si="13"/>
        <v>0</v>
      </c>
    </row>
    <row r="113" spans="2:14" ht="27" customHeight="1" outlineLevel="1" x14ac:dyDescent="0.25">
      <c r="B113" s="16" t="s">
        <v>217</v>
      </c>
      <c r="C113" s="17">
        <v>5.9654406169999996</v>
      </c>
      <c r="G113" s="18"/>
      <c r="I113" s="19" t="s">
        <v>115</v>
      </c>
      <c r="J113" s="54">
        <v>0</v>
      </c>
      <c r="M113" s="20">
        <f t="shared" si="14"/>
        <v>5.9654406169999996</v>
      </c>
      <c r="N113" s="21">
        <f>M113-C113</f>
        <v>0</v>
      </c>
    </row>
    <row r="114" spans="2:14" ht="27" customHeight="1" outlineLevel="1" x14ac:dyDescent="0.25">
      <c r="B114" s="16" t="s">
        <v>218</v>
      </c>
      <c r="C114" s="17">
        <v>2.3713833229999999</v>
      </c>
      <c r="G114" s="18"/>
      <c r="I114" s="19" t="s">
        <v>115</v>
      </c>
      <c r="J114" s="54">
        <v>0</v>
      </c>
      <c r="M114" s="20">
        <f t="shared" si="14"/>
        <v>2.3713833229999999</v>
      </c>
      <c r="N114" s="21">
        <f t="shared" si="13"/>
        <v>0</v>
      </c>
    </row>
    <row r="115" spans="2:14" ht="27" customHeight="1" outlineLevel="1" x14ac:dyDescent="0.25">
      <c r="B115" s="22" t="s">
        <v>219</v>
      </c>
      <c r="C115" s="65">
        <v>0.34599999999999997</v>
      </c>
      <c r="D115" s="23"/>
      <c r="E115" s="24"/>
      <c r="F115" s="23"/>
      <c r="G115" s="25"/>
      <c r="H115" s="26"/>
      <c r="I115" s="27" t="s">
        <v>115</v>
      </c>
      <c r="J115" s="54">
        <v>0</v>
      </c>
      <c r="K115" s="28"/>
      <c r="L115" s="24"/>
      <c r="M115" s="29">
        <f t="shared" si="14"/>
        <v>0.34599999999999997</v>
      </c>
      <c r="N115" s="30">
        <f t="shared" si="13"/>
        <v>0</v>
      </c>
    </row>
    <row r="116" spans="2:14" ht="27" customHeight="1" x14ac:dyDescent="0.25">
      <c r="B116" s="393" t="s">
        <v>220</v>
      </c>
      <c r="C116" s="394">
        <f>SUM(C117:C128)</f>
        <v>158.17387598299999</v>
      </c>
      <c r="D116" s="395"/>
      <c r="E116" s="396"/>
      <c r="F116" s="395"/>
      <c r="G116" s="397"/>
      <c r="H116" s="398"/>
      <c r="I116" s="399"/>
      <c r="J116" s="400"/>
      <c r="K116" s="401"/>
      <c r="L116" s="396"/>
      <c r="M116" s="405">
        <f>SUM(M117:M128)</f>
        <v>158.17387598299999</v>
      </c>
      <c r="N116" s="403">
        <f>M116-C116</f>
        <v>0</v>
      </c>
    </row>
    <row r="117" spans="2:14" ht="27" customHeight="1" outlineLevel="1" x14ac:dyDescent="0.25">
      <c r="B117" s="16" t="s">
        <v>221</v>
      </c>
      <c r="C117" s="17"/>
      <c r="G117" s="18"/>
      <c r="I117" s="19"/>
      <c r="M117" s="20"/>
      <c r="N117" s="21"/>
    </row>
    <row r="118" spans="2:14" ht="27" customHeight="1" outlineLevel="1" x14ac:dyDescent="0.25">
      <c r="B118" s="32" t="s">
        <v>177</v>
      </c>
      <c r="C118" s="17">
        <v>0.44</v>
      </c>
      <c r="G118" s="18"/>
      <c r="I118" s="19" t="s">
        <v>115</v>
      </c>
      <c r="J118" s="54">
        <v>0</v>
      </c>
      <c r="M118" s="20">
        <f t="shared" ref="M118:M128" si="15">C118+J118/100*C118</f>
        <v>0.44</v>
      </c>
      <c r="N118" s="21">
        <f t="shared" ref="N118:N128" si="16">M118-C118</f>
        <v>0</v>
      </c>
    </row>
    <row r="119" spans="2:14" ht="27" customHeight="1" outlineLevel="1" x14ac:dyDescent="0.25">
      <c r="B119" s="32" t="s">
        <v>222</v>
      </c>
      <c r="C119" s="17">
        <v>11.826245387</v>
      </c>
      <c r="G119" s="18"/>
      <c r="I119" s="19" t="s">
        <v>115</v>
      </c>
      <c r="J119" s="54">
        <v>0</v>
      </c>
      <c r="M119" s="20">
        <f t="shared" si="15"/>
        <v>11.826245387</v>
      </c>
      <c r="N119" s="21">
        <f t="shared" si="16"/>
        <v>0</v>
      </c>
    </row>
    <row r="120" spans="2:14" ht="27" customHeight="1" outlineLevel="1" x14ac:dyDescent="0.25">
      <c r="B120" s="32" t="s">
        <v>182</v>
      </c>
      <c r="C120" s="17">
        <v>0.75778990000000002</v>
      </c>
      <c r="G120" s="18"/>
      <c r="I120" s="19" t="s">
        <v>115</v>
      </c>
      <c r="J120" s="54">
        <v>0</v>
      </c>
      <c r="M120" s="20">
        <f t="shared" si="15"/>
        <v>0.75778990000000002</v>
      </c>
      <c r="N120" s="21">
        <f t="shared" si="16"/>
        <v>0</v>
      </c>
    </row>
    <row r="121" spans="2:14" ht="27" customHeight="1" outlineLevel="1" x14ac:dyDescent="0.25">
      <c r="B121" s="16" t="s">
        <v>223</v>
      </c>
      <c r="C121" s="17">
        <v>0.64484070599999999</v>
      </c>
      <c r="G121" s="18"/>
      <c r="I121" s="19" t="s">
        <v>115</v>
      </c>
      <c r="J121" s="54">
        <v>0</v>
      </c>
      <c r="M121" s="20">
        <f t="shared" si="15"/>
        <v>0.64484070599999999</v>
      </c>
      <c r="N121" s="21">
        <f t="shared" si="16"/>
        <v>0</v>
      </c>
    </row>
    <row r="122" spans="2:14" ht="27" customHeight="1" outlineLevel="1" x14ac:dyDescent="0.25">
      <c r="B122" s="16" t="s">
        <v>386</v>
      </c>
      <c r="C122" s="17">
        <v>106.99105663500001</v>
      </c>
      <c r="D122" s="8"/>
      <c r="G122" s="18"/>
      <c r="I122" s="19" t="s">
        <v>115</v>
      </c>
      <c r="J122" s="54">
        <v>0</v>
      </c>
      <c r="M122" s="20">
        <f t="shared" si="15"/>
        <v>106.99105663500001</v>
      </c>
      <c r="N122" s="21">
        <f t="shared" si="16"/>
        <v>0</v>
      </c>
    </row>
    <row r="123" spans="2:14" ht="27" customHeight="1" outlineLevel="1" x14ac:dyDescent="0.25">
      <c r="B123" s="16" t="s">
        <v>224</v>
      </c>
      <c r="C123" s="17">
        <v>10.426146985999999</v>
      </c>
      <c r="G123" s="18"/>
      <c r="I123" s="19" t="s">
        <v>115</v>
      </c>
      <c r="J123" s="54">
        <v>0</v>
      </c>
      <c r="M123" s="20">
        <f t="shared" si="15"/>
        <v>10.426146985999999</v>
      </c>
      <c r="N123" s="21">
        <f t="shared" si="16"/>
        <v>0</v>
      </c>
    </row>
    <row r="124" spans="2:14" ht="27" customHeight="1" outlineLevel="1" x14ac:dyDescent="0.25">
      <c r="B124" s="16" t="s">
        <v>197</v>
      </c>
      <c r="C124" s="17">
        <v>15.198693375</v>
      </c>
      <c r="G124" s="18"/>
      <c r="I124" s="19" t="s">
        <v>115</v>
      </c>
      <c r="J124" s="54">
        <v>0</v>
      </c>
      <c r="M124" s="20">
        <f t="shared" si="15"/>
        <v>15.198693375</v>
      </c>
      <c r="N124" s="21">
        <f t="shared" si="16"/>
        <v>0</v>
      </c>
    </row>
    <row r="125" spans="2:14" ht="27" customHeight="1" outlineLevel="1" x14ac:dyDescent="0.25">
      <c r="B125" s="16" t="s">
        <v>198</v>
      </c>
      <c r="C125" s="17">
        <v>7.7176023230000004</v>
      </c>
      <c r="G125" s="18"/>
      <c r="I125" s="19" t="s">
        <v>115</v>
      </c>
      <c r="J125" s="54">
        <v>0</v>
      </c>
      <c r="M125" s="20">
        <f t="shared" si="15"/>
        <v>7.7176023230000004</v>
      </c>
      <c r="N125" s="21">
        <f t="shared" si="16"/>
        <v>0</v>
      </c>
    </row>
    <row r="126" spans="2:14" ht="27" customHeight="1" outlineLevel="1" x14ac:dyDescent="0.25">
      <c r="B126" s="16" t="s">
        <v>199</v>
      </c>
      <c r="C126" s="17">
        <v>2.4636226149999998</v>
      </c>
      <c r="G126" s="18"/>
      <c r="I126" s="19" t="s">
        <v>115</v>
      </c>
      <c r="J126" s="54">
        <v>0</v>
      </c>
      <c r="M126" s="20">
        <f t="shared" si="15"/>
        <v>2.4636226149999998</v>
      </c>
      <c r="N126" s="21">
        <f t="shared" si="16"/>
        <v>0</v>
      </c>
    </row>
    <row r="127" spans="2:14" ht="27" customHeight="1" outlineLevel="1" x14ac:dyDescent="0.25">
      <c r="B127" s="16" t="s">
        <v>225</v>
      </c>
      <c r="C127" s="17">
        <v>1.275538056</v>
      </c>
      <c r="D127" s="8"/>
      <c r="G127" s="18"/>
      <c r="I127" s="19" t="s">
        <v>115</v>
      </c>
      <c r="J127" s="54">
        <v>0</v>
      </c>
      <c r="M127" s="20">
        <f t="shared" si="15"/>
        <v>1.275538056</v>
      </c>
      <c r="N127" s="21">
        <f t="shared" si="16"/>
        <v>0</v>
      </c>
    </row>
    <row r="128" spans="2:14" ht="27" customHeight="1" outlineLevel="1" x14ac:dyDescent="0.25">
      <c r="B128" s="22" t="s">
        <v>226</v>
      </c>
      <c r="C128" s="65">
        <v>0.43234</v>
      </c>
      <c r="D128" s="23"/>
      <c r="E128" s="24"/>
      <c r="F128" s="23"/>
      <c r="G128" s="25"/>
      <c r="H128" s="26"/>
      <c r="I128" s="27" t="s">
        <v>115</v>
      </c>
      <c r="J128" s="54">
        <v>0</v>
      </c>
      <c r="K128" s="28"/>
      <c r="L128" s="24"/>
      <c r="M128" s="29">
        <f t="shared" si="15"/>
        <v>0.43234</v>
      </c>
      <c r="N128" s="30">
        <f t="shared" si="16"/>
        <v>0</v>
      </c>
    </row>
    <row r="129" spans="2:14" ht="27" customHeight="1" x14ac:dyDescent="0.25">
      <c r="B129" s="393" t="s">
        <v>227</v>
      </c>
      <c r="C129" s="394">
        <f>SUM(C130:C134)</f>
        <v>29.876278410000001</v>
      </c>
      <c r="D129" s="395"/>
      <c r="E129" s="396"/>
      <c r="F129" s="395"/>
      <c r="G129" s="397"/>
      <c r="H129" s="398"/>
      <c r="I129" s="399"/>
      <c r="J129" s="400"/>
      <c r="K129" s="401"/>
      <c r="L129" s="396"/>
      <c r="M129" s="405">
        <f>SUM(M130:M134)</f>
        <v>29.876278410000001</v>
      </c>
      <c r="N129" s="403">
        <f>M129-C129</f>
        <v>0</v>
      </c>
    </row>
    <row r="130" spans="2:14" ht="27" customHeight="1" outlineLevel="1" x14ac:dyDescent="0.25">
      <c r="B130" s="16" t="s">
        <v>228</v>
      </c>
      <c r="C130" s="17">
        <v>9.984450399</v>
      </c>
      <c r="D130" s="8"/>
      <c r="G130" s="18"/>
      <c r="I130" s="19" t="s">
        <v>115</v>
      </c>
      <c r="J130" s="54">
        <v>0</v>
      </c>
      <c r="M130" s="20">
        <f>C130+J130/100*C130</f>
        <v>9.984450399</v>
      </c>
      <c r="N130" s="21">
        <f>M130-C130</f>
        <v>0</v>
      </c>
    </row>
    <row r="131" spans="2:14" ht="27" customHeight="1" outlineLevel="1" x14ac:dyDescent="0.25">
      <c r="B131" s="16" t="s">
        <v>387</v>
      </c>
      <c r="C131" s="17"/>
      <c r="G131" s="18"/>
      <c r="I131" s="19"/>
      <c r="M131" s="20"/>
      <c r="N131" s="21"/>
    </row>
    <row r="132" spans="2:14" ht="27" customHeight="1" outlineLevel="1" x14ac:dyDescent="0.25">
      <c r="B132" s="32" t="s">
        <v>229</v>
      </c>
      <c r="C132" s="17">
        <v>8.6674722519999996</v>
      </c>
      <c r="D132" s="9"/>
      <c r="G132" s="18"/>
      <c r="I132" s="19" t="s">
        <v>115</v>
      </c>
      <c r="J132" s="54">
        <v>0</v>
      </c>
      <c r="M132" s="20">
        <f>C132+J132/100*C132</f>
        <v>8.6674722519999996</v>
      </c>
      <c r="N132" s="21">
        <f>M132-C132</f>
        <v>0</v>
      </c>
    </row>
    <row r="133" spans="2:14" ht="27" customHeight="1" outlineLevel="1" x14ac:dyDescent="0.25">
      <c r="B133" s="32" t="s">
        <v>230</v>
      </c>
      <c r="C133" s="17">
        <v>9.736464024</v>
      </c>
      <c r="D133" s="9"/>
      <c r="G133" s="18"/>
      <c r="I133" s="19" t="s">
        <v>115</v>
      </c>
      <c r="J133" s="54">
        <v>0</v>
      </c>
      <c r="M133" s="20">
        <f>C133+J133/100*C133</f>
        <v>9.736464024</v>
      </c>
      <c r="N133" s="21">
        <f>M133-C133</f>
        <v>0</v>
      </c>
    </row>
    <row r="134" spans="2:14" ht="27" customHeight="1" outlineLevel="1" x14ac:dyDescent="0.25">
      <c r="B134" s="36" t="s">
        <v>182</v>
      </c>
      <c r="C134" s="65">
        <v>1.487891735</v>
      </c>
      <c r="D134" s="61"/>
      <c r="E134" s="24"/>
      <c r="F134" s="23"/>
      <c r="G134" s="25"/>
      <c r="H134" s="26"/>
      <c r="I134" s="27" t="s">
        <v>115</v>
      </c>
      <c r="J134" s="54">
        <v>0</v>
      </c>
      <c r="K134" s="28"/>
      <c r="L134" s="24"/>
      <c r="M134" s="29">
        <f>C134+J134/100*C134</f>
        <v>1.487891735</v>
      </c>
      <c r="N134" s="30">
        <f>M134-C134</f>
        <v>0</v>
      </c>
    </row>
    <row r="135" spans="2:14" ht="27" customHeight="1" x14ac:dyDescent="0.25">
      <c r="B135" s="37" t="s">
        <v>231</v>
      </c>
      <c r="C135" s="415">
        <f>C108+C116+C129</f>
        <v>250.15797632699997</v>
      </c>
      <c r="D135" s="416"/>
      <c r="E135" s="417"/>
      <c r="F135" s="416"/>
      <c r="G135" s="418"/>
      <c r="H135" s="409"/>
      <c r="I135" s="410"/>
      <c r="J135" s="411"/>
      <c r="K135" s="412"/>
      <c r="L135" s="413"/>
      <c r="M135" s="414">
        <f>M108+M116+M129</f>
        <v>250.15797632699997</v>
      </c>
      <c r="N135" s="38">
        <f t="shared" ref="N135" si="17">M135-C135</f>
        <v>0</v>
      </c>
    </row>
    <row r="136" spans="2:14" ht="27" customHeight="1" x14ac:dyDescent="0.25">
      <c r="B136" s="39" t="s">
        <v>62</v>
      </c>
      <c r="C136" s="40">
        <f>C5+C13+C101+C104+C67+C30+C108+C129+C116</f>
        <v>2327.0829854660005</v>
      </c>
      <c r="D136" s="41"/>
      <c r="E136" s="419"/>
      <c r="F136" s="41"/>
      <c r="G136" s="43"/>
      <c r="H136" s="44"/>
      <c r="I136" s="45"/>
      <c r="J136" s="46"/>
      <c r="K136" s="47"/>
      <c r="L136" s="42"/>
      <c r="M136" s="48">
        <f>M5+M13+M101+M104+M67+M30+M108+M129+M116</f>
        <v>2327.082985464001</v>
      </c>
      <c r="N136" s="62">
        <f>N5+N13+N101+N104+N67+N30+N108+N129+N116</f>
        <v>-1.9992967281723395E-9</v>
      </c>
    </row>
    <row r="137" spans="2:14" ht="27" customHeight="1" x14ac:dyDescent="0.25">
      <c r="B137" s="49"/>
      <c r="C137" s="31"/>
      <c r="G137" s="18"/>
      <c r="I137" s="19"/>
      <c r="M137" s="20"/>
      <c r="N137" s="21"/>
    </row>
    <row r="138" spans="2:14" s="50" customFormat="1" ht="27" customHeight="1" x14ac:dyDescent="0.25">
      <c r="B138" s="393" t="s">
        <v>388</v>
      </c>
      <c r="C138" s="394">
        <v>2086.0829854660001</v>
      </c>
      <c r="D138" s="420"/>
      <c r="E138" s="421"/>
      <c r="F138" s="420"/>
      <c r="G138" s="422"/>
      <c r="H138" s="423"/>
      <c r="I138" s="424"/>
      <c r="J138" s="425"/>
      <c r="K138" s="426"/>
      <c r="L138" s="421"/>
      <c r="M138" s="405">
        <f>C138</f>
        <v>2086.0829854660001</v>
      </c>
      <c r="N138" s="403"/>
    </row>
    <row r="139" spans="2:14" s="50" customFormat="1" ht="27" customHeight="1" thickBot="1" x14ac:dyDescent="0.3">
      <c r="B139" s="51" t="s">
        <v>389</v>
      </c>
      <c r="C139" s="357">
        <f>C138-C136</f>
        <v>-241.00000000000045</v>
      </c>
      <c r="D139" s="358"/>
      <c r="E139" s="359"/>
      <c r="F139" s="358"/>
      <c r="G139" s="52"/>
      <c r="H139" s="360"/>
      <c r="I139" s="53"/>
      <c r="J139" s="361"/>
      <c r="K139" s="362"/>
      <c r="L139" s="359"/>
      <c r="M139" s="364">
        <f>M138-M136</f>
        <v>-240.99999999800093</v>
      </c>
      <c r="N139" s="363"/>
    </row>
  </sheetData>
  <sheetProtection algorithmName="SHA-512" hashValue="pO5XyuhPxWsfh5HNGGBYC6eWJV4Z4CDj3XCFy7YHqHtLWPkpmvTaMpjNOi84nQh85BMf2g8PYJ3uq5BxEx7MZA==" saltValue="/Iax3rt2/sNOqKg5WV63HQ==" spinCount="100000" sheet="1" objects="1" scenarios="1"/>
  <mergeCells count="5">
    <mergeCell ref="B1:N1"/>
    <mergeCell ref="B3:B4"/>
    <mergeCell ref="C3:G3"/>
    <mergeCell ref="I3:M3"/>
    <mergeCell ref="N3:N4"/>
  </mergeCells>
  <phoneticPr fontId="78" type="noConversion"/>
  <printOptions horizontalCentered="1" verticalCentered="1"/>
  <pageMargins left="0.25" right="0.25" top="0.75" bottom="0.75" header="0.3" footer="0.3"/>
  <pageSetup paperSize="8" scale="2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1653C-00BB-406F-AF46-ED543962E118}">
  <sheetPr>
    <tabColor theme="0" tint="-0.14999847407452621"/>
    <pageSetUpPr fitToPage="1"/>
  </sheetPr>
  <dimension ref="B1:C20"/>
  <sheetViews>
    <sheetView showGridLines="0" topLeftCell="A8" zoomScaleNormal="100" zoomScaleSheetLayoutView="100" workbookViewId="0">
      <selection activeCell="C15" sqref="C15"/>
    </sheetView>
  </sheetViews>
  <sheetFormatPr defaultColWidth="9.140625" defaultRowHeight="15" x14ac:dyDescent="0.2"/>
  <cols>
    <col min="1" max="1" width="4" style="262" customWidth="1"/>
    <col min="2" max="2" width="51.7109375" style="262" customWidth="1"/>
    <col min="3" max="3" width="147.140625" style="262" customWidth="1"/>
    <col min="4" max="16384" width="9.140625" style="262"/>
  </cols>
  <sheetData>
    <row r="1" spans="2:3" ht="27" customHeight="1" x14ac:dyDescent="0.2"/>
    <row r="2" spans="2:3" ht="33.75" x14ac:dyDescent="0.2">
      <c r="C2" s="391" t="s">
        <v>232</v>
      </c>
    </row>
    <row r="3" spans="2:3" ht="53.25" customHeight="1" x14ac:dyDescent="0.2">
      <c r="C3" s="392" t="s">
        <v>233</v>
      </c>
    </row>
    <row r="4" spans="2:3" ht="48" customHeight="1" x14ac:dyDescent="0.2">
      <c r="C4" s="392" t="s">
        <v>390</v>
      </c>
    </row>
    <row r="5" spans="2:3" ht="25.5" customHeight="1" x14ac:dyDescent="0.2">
      <c r="C5" s="269" t="s">
        <v>234</v>
      </c>
    </row>
    <row r="6" spans="2:3" ht="22.9" customHeight="1" x14ac:dyDescent="0.2">
      <c r="C6" s="269" t="s">
        <v>391</v>
      </c>
    </row>
    <row r="7" spans="2:3" ht="36" customHeight="1" x14ac:dyDescent="0.2">
      <c r="C7" s="378" t="s">
        <v>392</v>
      </c>
    </row>
    <row r="8" spans="2:3" ht="27" customHeight="1" x14ac:dyDescent="0.2">
      <c r="C8" s="378" t="s">
        <v>393</v>
      </c>
    </row>
    <row r="9" spans="2:3" ht="28.9" customHeight="1" x14ac:dyDescent="0.2">
      <c r="B9" s="270"/>
      <c r="C9" s="382" t="s">
        <v>235</v>
      </c>
    </row>
    <row r="10" spans="2:3" ht="67.5" customHeight="1" x14ac:dyDescent="0.2">
      <c r="C10" s="265" t="s">
        <v>394</v>
      </c>
    </row>
    <row r="11" spans="2:3" x14ac:dyDescent="0.2">
      <c r="C11" s="272"/>
    </row>
    <row r="12" spans="2:3" ht="19.899999999999999" customHeight="1" x14ac:dyDescent="0.2">
      <c r="C12" s="264" t="s">
        <v>19</v>
      </c>
    </row>
    <row r="13" spans="2:3" x14ac:dyDescent="0.2">
      <c r="C13" s="266" t="s">
        <v>98</v>
      </c>
    </row>
    <row r="14" spans="2:3" s="270" customFormat="1" ht="27.6" customHeight="1" x14ac:dyDescent="0.25">
      <c r="C14" s="266"/>
    </row>
    <row r="15" spans="2:3" x14ac:dyDescent="0.2">
      <c r="C15" s="264" t="s">
        <v>20</v>
      </c>
    </row>
    <row r="16" spans="2:3" x14ac:dyDescent="0.2">
      <c r="C16" s="268" t="s">
        <v>236</v>
      </c>
    </row>
    <row r="17" spans="3:3" x14ac:dyDescent="0.2">
      <c r="C17" s="268" t="s">
        <v>395</v>
      </c>
    </row>
    <row r="18" spans="3:3" x14ac:dyDescent="0.2">
      <c r="C18" s="268" t="s">
        <v>237</v>
      </c>
    </row>
    <row r="19" spans="3:3" x14ac:dyDescent="0.2">
      <c r="C19" s="268" t="s">
        <v>238</v>
      </c>
    </row>
    <row r="20" spans="3:3" x14ac:dyDescent="0.2">
      <c r="C20" s="268"/>
    </row>
  </sheetData>
  <sheetProtection algorithmName="SHA-512" hashValue="W3UBT5D1mN3S1JrUwrBF5mZdtH7e53LebpjuW+1aXjGCxVG0BV8P8gR8aU5ChF8oVFwcgqDUWLoGCI8Ypbox+Q==" saltValue="h+kuJA5Yw4THB8CbRsnbqQ==" spinCount="100000" sheet="1" objects="1" scenarios="1"/>
  <pageMargins left="0.25" right="0.25" top="0.75" bottom="0.75" header="0.3" footer="0.3"/>
  <pageSetup paperSize="9" scale="7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F9D71-6E87-495B-AE69-F79DFB618A59}">
  <sheetPr>
    <tabColor theme="0" tint="-0.14999847407452621"/>
    <pageSetUpPr fitToPage="1"/>
  </sheetPr>
  <dimension ref="B1:H59"/>
  <sheetViews>
    <sheetView topLeftCell="A50" zoomScale="70" zoomScaleNormal="70" workbookViewId="0">
      <selection activeCell="C6" sqref="C6"/>
    </sheetView>
  </sheetViews>
  <sheetFormatPr defaultColWidth="9.140625" defaultRowHeight="15" outlineLevelRow="1" x14ac:dyDescent="0.25"/>
  <cols>
    <col min="1" max="1" width="4.140625" style="8" customWidth="1"/>
    <col min="2" max="2" width="120.42578125" style="8" customWidth="1"/>
    <col min="3" max="3" width="19.28515625" style="9" customWidth="1"/>
    <col min="4" max="4" width="4.7109375" style="8" customWidth="1"/>
    <col min="5" max="5" width="29.42578125" style="10" customWidth="1"/>
    <col min="6" max="6" width="18" style="12" customWidth="1"/>
    <col min="7" max="7" width="20.7109375" style="9" bestFit="1" customWidth="1"/>
    <col min="8" max="8" width="21.7109375" style="14" customWidth="1"/>
    <col min="9" max="9" width="18.42578125" style="8" customWidth="1"/>
    <col min="10" max="10" width="28.7109375" style="8" bestFit="1" customWidth="1"/>
    <col min="11" max="16384" width="9.140625" style="8"/>
  </cols>
  <sheetData>
    <row r="1" spans="2:8" ht="165" customHeight="1" x14ac:dyDescent="0.25">
      <c r="B1" s="690" t="s">
        <v>396</v>
      </c>
      <c r="C1" s="690"/>
      <c r="D1" s="690"/>
      <c r="E1" s="690"/>
      <c r="F1" s="690"/>
      <c r="G1" s="690"/>
      <c r="H1" s="690"/>
    </row>
    <row r="2" spans="2:8" ht="16.5" thickBot="1" x14ac:dyDescent="0.3">
      <c r="C2" s="50"/>
    </row>
    <row r="3" spans="2:8" ht="23.25" customHeight="1" x14ac:dyDescent="0.25">
      <c r="B3" s="691" t="s">
        <v>99</v>
      </c>
      <c r="C3" s="693" t="s">
        <v>239</v>
      </c>
      <c r="D3" s="694"/>
      <c r="E3" s="693" t="s">
        <v>100</v>
      </c>
      <c r="F3" s="694"/>
      <c r="G3" s="695"/>
      <c r="H3" s="696" t="s">
        <v>101</v>
      </c>
    </row>
    <row r="4" spans="2:8" ht="32.25" customHeight="1" thickBot="1" x14ac:dyDescent="0.3">
      <c r="B4" s="692"/>
      <c r="C4" s="698" t="s">
        <v>102</v>
      </c>
      <c r="D4" s="699"/>
      <c r="E4" s="58" t="s">
        <v>240</v>
      </c>
      <c r="F4" s="288" t="s">
        <v>241</v>
      </c>
      <c r="G4" s="287" t="s">
        <v>102</v>
      </c>
      <c r="H4" s="697"/>
    </row>
    <row r="5" spans="2:8" ht="27" customHeight="1" x14ac:dyDescent="0.25">
      <c r="B5" s="393" t="s">
        <v>107</v>
      </c>
      <c r="C5" s="394">
        <f>SUM(C6:C9)</f>
        <v>2.1033589940000001</v>
      </c>
      <c r="D5" s="398"/>
      <c r="E5" s="399"/>
      <c r="F5" s="400"/>
      <c r="G5" s="73">
        <f>SUM(G6:G9)</f>
        <v>2.1033589940000001</v>
      </c>
      <c r="H5" s="403">
        <f t="shared" ref="H5:H18" si="0">G5-C5</f>
        <v>0</v>
      </c>
    </row>
    <row r="6" spans="2:8" ht="27" customHeight="1" outlineLevel="1" x14ac:dyDescent="0.25">
      <c r="B6" s="16" t="s">
        <v>108</v>
      </c>
      <c r="C6" s="17">
        <v>0.20339840200000001</v>
      </c>
      <c r="E6" s="19" t="s">
        <v>115</v>
      </c>
      <c r="F6" s="54">
        <v>0</v>
      </c>
      <c r="G6" s="20">
        <f>C6+F6/100*C6</f>
        <v>0.20339840200000001</v>
      </c>
      <c r="H6" s="21">
        <f t="shared" si="0"/>
        <v>0</v>
      </c>
    </row>
    <row r="7" spans="2:8" ht="27" customHeight="1" outlineLevel="1" x14ac:dyDescent="0.25">
      <c r="B7" s="16" t="s">
        <v>112</v>
      </c>
      <c r="C7" s="17">
        <v>1.2859252850000003</v>
      </c>
      <c r="E7" s="19" t="s">
        <v>115</v>
      </c>
      <c r="F7" s="54">
        <v>0</v>
      </c>
      <c r="G7" s="20">
        <f>C7+F7/100*C7</f>
        <v>1.2859252850000003</v>
      </c>
      <c r="H7" s="21">
        <f t="shared" si="0"/>
        <v>0</v>
      </c>
    </row>
    <row r="8" spans="2:8" ht="27" customHeight="1" outlineLevel="1" x14ac:dyDescent="0.25">
      <c r="B8" s="16" t="s">
        <v>116</v>
      </c>
      <c r="C8" s="17">
        <v>0.52481505300000009</v>
      </c>
      <c r="E8" s="19"/>
      <c r="G8" s="66" cm="1">
        <f t="array" ref="G8">SUM(G6:G7*(C8/SUM(C6:C7)))</f>
        <v>0.52481505300000009</v>
      </c>
      <c r="H8" s="21">
        <f t="shared" si="0"/>
        <v>0</v>
      </c>
    </row>
    <row r="9" spans="2:8" ht="27" customHeight="1" outlineLevel="1" x14ac:dyDescent="0.25">
      <c r="B9" s="16" t="s">
        <v>117</v>
      </c>
      <c r="C9" s="17">
        <v>8.9220253999999888E-2</v>
      </c>
      <c r="E9" s="19" t="s">
        <v>115</v>
      </c>
      <c r="F9" s="54">
        <v>0</v>
      </c>
      <c r="G9" s="20">
        <f>C9+F9/100*C9</f>
        <v>8.9220253999999888E-2</v>
      </c>
      <c r="H9" s="21">
        <f t="shared" si="0"/>
        <v>0</v>
      </c>
    </row>
    <row r="10" spans="2:8" ht="27" customHeight="1" x14ac:dyDescent="0.25">
      <c r="B10" s="393" t="s">
        <v>118</v>
      </c>
      <c r="C10" s="394">
        <f>SUM(C11:C17)</f>
        <v>1.9855616599999992</v>
      </c>
      <c r="D10" s="398"/>
      <c r="E10" s="399"/>
      <c r="F10" s="428"/>
      <c r="G10" s="405">
        <f>SUM(G11:G17)</f>
        <v>1.9855616599999992</v>
      </c>
      <c r="H10" s="403">
        <f t="shared" si="0"/>
        <v>0</v>
      </c>
    </row>
    <row r="11" spans="2:8" ht="27" customHeight="1" outlineLevel="1" x14ac:dyDescent="0.25">
      <c r="B11" s="16" t="s">
        <v>242</v>
      </c>
      <c r="C11" s="17">
        <v>0.28933330300000004</v>
      </c>
      <c r="E11" s="19" t="s">
        <v>115</v>
      </c>
      <c r="F11" s="54">
        <v>0</v>
      </c>
      <c r="G11" s="20">
        <f t="shared" ref="G11:G17" si="1">C11+F11/100*C11</f>
        <v>0.28933330300000004</v>
      </c>
      <c r="H11" s="21">
        <f t="shared" si="0"/>
        <v>0</v>
      </c>
    </row>
    <row r="12" spans="2:8" ht="27" customHeight="1" outlineLevel="1" x14ac:dyDescent="0.25">
      <c r="B12" s="16" t="s">
        <v>243</v>
      </c>
      <c r="C12" s="17">
        <v>7.0138335999999996E-2</v>
      </c>
      <c r="E12" s="19" t="s">
        <v>115</v>
      </c>
      <c r="F12" s="54">
        <v>0</v>
      </c>
      <c r="G12" s="20">
        <f t="shared" si="1"/>
        <v>7.0138335999999996E-2</v>
      </c>
      <c r="H12" s="21">
        <f t="shared" si="0"/>
        <v>0</v>
      </c>
    </row>
    <row r="13" spans="2:8" ht="27" customHeight="1" outlineLevel="1" x14ac:dyDescent="0.25">
      <c r="B13" s="16" t="s">
        <v>119</v>
      </c>
      <c r="C13" s="17">
        <v>0.65329462500000002</v>
      </c>
      <c r="E13" s="19" t="s">
        <v>115</v>
      </c>
      <c r="F13" s="54">
        <v>0</v>
      </c>
      <c r="G13" s="20">
        <f t="shared" si="1"/>
        <v>0.65329462500000002</v>
      </c>
      <c r="H13" s="21">
        <f t="shared" si="0"/>
        <v>0</v>
      </c>
    </row>
    <row r="14" spans="2:8" ht="27" customHeight="1" outlineLevel="1" x14ac:dyDescent="0.25">
      <c r="B14" s="16" t="s">
        <v>133</v>
      </c>
      <c r="C14" s="17">
        <v>0.33439870400000005</v>
      </c>
      <c r="E14" s="19" t="s">
        <v>115</v>
      </c>
      <c r="F14" s="54">
        <v>0</v>
      </c>
      <c r="G14" s="20">
        <f t="shared" si="1"/>
        <v>0.33439870400000005</v>
      </c>
      <c r="H14" s="21">
        <f t="shared" si="0"/>
        <v>0</v>
      </c>
    </row>
    <row r="15" spans="2:8" ht="27" customHeight="1" outlineLevel="1" x14ac:dyDescent="0.25">
      <c r="B15" s="16" t="s">
        <v>244</v>
      </c>
      <c r="C15" s="17">
        <v>0.35943462999999998</v>
      </c>
      <c r="E15" s="19" t="s">
        <v>115</v>
      </c>
      <c r="F15" s="54">
        <v>0</v>
      </c>
      <c r="G15" s="20">
        <f t="shared" si="1"/>
        <v>0.35943462999999998</v>
      </c>
      <c r="H15" s="21">
        <f t="shared" si="0"/>
        <v>0</v>
      </c>
    </row>
    <row r="16" spans="2:8" ht="27" customHeight="1" outlineLevel="1" x14ac:dyDescent="0.25">
      <c r="B16" s="16" t="s">
        <v>245</v>
      </c>
      <c r="C16" s="17">
        <v>0.26878706200000002</v>
      </c>
      <c r="E16" s="19" t="s">
        <v>115</v>
      </c>
      <c r="F16" s="54">
        <v>0</v>
      </c>
      <c r="G16" s="20">
        <f t="shared" si="1"/>
        <v>0.26878706200000002</v>
      </c>
      <c r="H16" s="21">
        <f t="shared" si="0"/>
        <v>0</v>
      </c>
    </row>
    <row r="17" spans="2:8" ht="27" customHeight="1" outlineLevel="1" x14ac:dyDescent="0.25">
      <c r="B17" s="16" t="s">
        <v>134</v>
      </c>
      <c r="C17" s="17">
        <v>1.0174999999998935E-2</v>
      </c>
      <c r="E17" s="19" t="s">
        <v>115</v>
      </c>
      <c r="F17" s="54">
        <v>0</v>
      </c>
      <c r="G17" s="20">
        <f t="shared" si="1"/>
        <v>1.0174999999998935E-2</v>
      </c>
      <c r="H17" s="21">
        <f t="shared" si="0"/>
        <v>0</v>
      </c>
    </row>
    <row r="18" spans="2:8" ht="27" customHeight="1" x14ac:dyDescent="0.25">
      <c r="B18" s="393" t="s">
        <v>174</v>
      </c>
      <c r="C18" s="394">
        <f>SUM(C19:C31)</f>
        <v>82.514592186000016</v>
      </c>
      <c r="D18" s="398"/>
      <c r="E18" s="399"/>
      <c r="F18" s="429"/>
      <c r="G18" s="405">
        <f>SUM(G19:G31)</f>
        <v>82.514592186000016</v>
      </c>
      <c r="H18" s="403">
        <f t="shared" si="0"/>
        <v>0</v>
      </c>
    </row>
    <row r="19" spans="2:8" ht="21.6" customHeight="1" outlineLevel="1" x14ac:dyDescent="0.25">
      <c r="B19" s="16" t="s">
        <v>246</v>
      </c>
      <c r="C19" s="17"/>
      <c r="E19" s="19"/>
      <c r="G19" s="20"/>
      <c r="H19" s="21"/>
    </row>
    <row r="20" spans="2:8" ht="27" customHeight="1" outlineLevel="1" x14ac:dyDescent="0.25">
      <c r="B20" s="60" t="s">
        <v>397</v>
      </c>
      <c r="C20" s="17">
        <v>46.660542</v>
      </c>
      <c r="E20" s="19" t="s">
        <v>115</v>
      </c>
      <c r="F20" s="54">
        <v>0</v>
      </c>
      <c r="G20" s="20">
        <f t="shared" ref="G20:G31" si="2">C20+F20/100*C20</f>
        <v>46.660542</v>
      </c>
      <c r="H20" s="21">
        <f t="shared" ref="H20:H39" si="3">G20-C20</f>
        <v>0</v>
      </c>
    </row>
    <row r="21" spans="2:8" ht="27" customHeight="1" outlineLevel="1" x14ac:dyDescent="0.25">
      <c r="B21" s="60" t="s">
        <v>398</v>
      </c>
      <c r="C21" s="17">
        <v>11.574585743999998</v>
      </c>
      <c r="E21" s="19" t="s">
        <v>115</v>
      </c>
      <c r="F21" s="54">
        <v>0</v>
      </c>
      <c r="G21" s="20">
        <f t="shared" si="2"/>
        <v>11.574585743999998</v>
      </c>
      <c r="H21" s="21">
        <f t="shared" si="3"/>
        <v>0</v>
      </c>
    </row>
    <row r="22" spans="2:8" ht="27" customHeight="1" outlineLevel="1" x14ac:dyDescent="0.25">
      <c r="B22" s="60" t="s">
        <v>399</v>
      </c>
      <c r="C22" s="17">
        <v>22.132437089000003</v>
      </c>
      <c r="E22" s="19" t="s">
        <v>115</v>
      </c>
      <c r="F22" s="54">
        <v>0</v>
      </c>
      <c r="G22" s="20">
        <f t="shared" si="2"/>
        <v>22.132437089000003</v>
      </c>
      <c r="H22" s="21">
        <f t="shared" si="3"/>
        <v>0</v>
      </c>
    </row>
    <row r="23" spans="2:8" ht="27" customHeight="1" outlineLevel="1" x14ac:dyDescent="0.25">
      <c r="B23" s="60" t="s">
        <v>247</v>
      </c>
      <c r="C23" s="17">
        <v>0.24295009899999997</v>
      </c>
      <c r="E23" s="19" t="s">
        <v>115</v>
      </c>
      <c r="F23" s="54">
        <v>0</v>
      </c>
      <c r="G23" s="20">
        <f t="shared" si="2"/>
        <v>0.24295009899999997</v>
      </c>
      <c r="H23" s="21">
        <f t="shared" si="3"/>
        <v>0</v>
      </c>
    </row>
    <row r="24" spans="2:8" ht="27" customHeight="1" outlineLevel="1" x14ac:dyDescent="0.25">
      <c r="B24" s="16" t="s">
        <v>248</v>
      </c>
      <c r="C24" s="17">
        <v>0.68598762300000005</v>
      </c>
      <c r="E24" s="19" t="s">
        <v>115</v>
      </c>
      <c r="F24" s="54">
        <v>0</v>
      </c>
      <c r="G24" s="20">
        <f t="shared" si="2"/>
        <v>0.68598762300000005</v>
      </c>
      <c r="H24" s="21">
        <f t="shared" si="3"/>
        <v>0</v>
      </c>
    </row>
    <row r="25" spans="2:8" ht="27" customHeight="1" outlineLevel="1" x14ac:dyDescent="0.25">
      <c r="B25" s="16" t="s">
        <v>249</v>
      </c>
      <c r="C25" s="17">
        <v>9.4425999999999996E-2</v>
      </c>
      <c r="E25" s="19" t="s">
        <v>115</v>
      </c>
      <c r="F25" s="54">
        <v>0</v>
      </c>
      <c r="G25" s="20">
        <f t="shared" si="2"/>
        <v>9.4425999999999996E-2</v>
      </c>
      <c r="H25" s="21">
        <f t="shared" si="3"/>
        <v>0</v>
      </c>
    </row>
    <row r="26" spans="2:8" ht="27" customHeight="1" outlineLevel="1" x14ac:dyDescent="0.25">
      <c r="B26" s="16" t="s">
        <v>250</v>
      </c>
      <c r="C26" s="17">
        <v>0.44629258700000002</v>
      </c>
      <c r="E26" s="19" t="s">
        <v>115</v>
      </c>
      <c r="F26" s="54">
        <v>0</v>
      </c>
      <c r="G26" s="20">
        <f t="shared" si="2"/>
        <v>0.44629258700000002</v>
      </c>
      <c r="H26" s="21">
        <f t="shared" si="3"/>
        <v>0</v>
      </c>
    </row>
    <row r="27" spans="2:8" ht="27" customHeight="1" outlineLevel="1" x14ac:dyDescent="0.25">
      <c r="B27" s="67" t="s">
        <v>400</v>
      </c>
      <c r="C27" s="17">
        <v>0.235170831</v>
      </c>
      <c r="E27" s="19" t="s">
        <v>115</v>
      </c>
      <c r="F27" s="54">
        <v>0</v>
      </c>
      <c r="G27" s="20">
        <f t="shared" si="2"/>
        <v>0.235170831</v>
      </c>
      <c r="H27" s="21">
        <f t="shared" si="3"/>
        <v>0</v>
      </c>
    </row>
    <row r="28" spans="2:8" ht="27" customHeight="1" outlineLevel="1" x14ac:dyDescent="0.25">
      <c r="B28" s="16" t="s">
        <v>251</v>
      </c>
      <c r="C28" s="17">
        <v>5.1434077999999994E-2</v>
      </c>
      <c r="E28" s="19" t="s">
        <v>115</v>
      </c>
      <c r="F28" s="54">
        <v>0</v>
      </c>
      <c r="G28" s="20">
        <f t="shared" si="2"/>
        <v>5.1434077999999994E-2</v>
      </c>
      <c r="H28" s="21">
        <f t="shared" si="3"/>
        <v>0</v>
      </c>
    </row>
    <row r="29" spans="2:8" ht="27" customHeight="1" outlineLevel="1" x14ac:dyDescent="0.25">
      <c r="B29" s="16" t="s">
        <v>252</v>
      </c>
      <c r="C29" s="17">
        <v>9.206416399999999E-2</v>
      </c>
      <c r="E29" s="19" t="s">
        <v>115</v>
      </c>
      <c r="F29" s="54">
        <v>0</v>
      </c>
      <c r="G29" s="20">
        <f t="shared" si="2"/>
        <v>9.206416399999999E-2</v>
      </c>
      <c r="H29" s="21">
        <f t="shared" si="3"/>
        <v>0</v>
      </c>
    </row>
    <row r="30" spans="2:8" ht="27" customHeight="1" outlineLevel="1" x14ac:dyDescent="0.25">
      <c r="B30" s="16" t="s">
        <v>253</v>
      </c>
      <c r="C30" s="17">
        <v>1.314634000000002E-2</v>
      </c>
      <c r="E30" s="19" t="s">
        <v>115</v>
      </c>
      <c r="F30" s="54">
        <v>0</v>
      </c>
      <c r="G30" s="20">
        <f t="shared" si="2"/>
        <v>1.314634000000002E-2</v>
      </c>
      <c r="H30" s="21">
        <f t="shared" si="3"/>
        <v>0</v>
      </c>
    </row>
    <row r="31" spans="2:8" ht="27" customHeight="1" outlineLevel="1" x14ac:dyDescent="0.25">
      <c r="B31" s="16" t="s">
        <v>254</v>
      </c>
      <c r="C31" s="17">
        <v>0.28555563100000003</v>
      </c>
      <c r="E31" s="19" t="s">
        <v>115</v>
      </c>
      <c r="F31" s="54">
        <v>0</v>
      </c>
      <c r="G31" s="20">
        <f t="shared" si="2"/>
        <v>0.28555563100000003</v>
      </c>
      <c r="H31" s="21">
        <f t="shared" si="3"/>
        <v>0</v>
      </c>
    </row>
    <row r="32" spans="2:8" ht="27" customHeight="1" x14ac:dyDescent="0.25">
      <c r="B32" s="393" t="s">
        <v>210</v>
      </c>
      <c r="C32" s="394">
        <f>SUM(C33:C34)</f>
        <v>2.20113</v>
      </c>
      <c r="D32" s="398"/>
      <c r="E32" s="399"/>
      <c r="F32" s="430"/>
      <c r="G32" s="405">
        <f>SUM(G33:G34)</f>
        <v>2.20113</v>
      </c>
      <c r="H32" s="431">
        <f t="shared" si="3"/>
        <v>0</v>
      </c>
    </row>
    <row r="33" spans="2:8" ht="27" customHeight="1" outlineLevel="1" x14ac:dyDescent="0.25">
      <c r="B33" s="16" t="s">
        <v>211</v>
      </c>
      <c r="C33" s="17">
        <v>2.2010000000000001</v>
      </c>
      <c r="E33" s="19" t="s">
        <v>115</v>
      </c>
      <c r="F33" s="54">
        <v>0</v>
      </c>
      <c r="G33" s="20">
        <f>C33+F33/100*C33</f>
        <v>2.2010000000000001</v>
      </c>
      <c r="H33" s="21">
        <f t="shared" si="3"/>
        <v>0</v>
      </c>
    </row>
    <row r="34" spans="2:8" ht="27" customHeight="1" outlineLevel="1" x14ac:dyDescent="0.25">
      <c r="B34" s="22" t="s">
        <v>182</v>
      </c>
      <c r="C34" s="65">
        <v>1.2999999999999999E-4</v>
      </c>
      <c r="D34" s="26"/>
      <c r="E34" s="27" t="s">
        <v>115</v>
      </c>
      <c r="F34" s="54">
        <v>0</v>
      </c>
      <c r="G34" s="29">
        <f>C34+F34/100*C34</f>
        <v>1.2999999999999999E-4</v>
      </c>
      <c r="H34" s="30">
        <f t="shared" si="3"/>
        <v>0</v>
      </c>
    </row>
    <row r="35" spans="2:8" ht="27" customHeight="1" x14ac:dyDescent="0.25">
      <c r="B35" s="37" t="s">
        <v>212</v>
      </c>
      <c r="C35" s="415">
        <f>C32+C18+C10+C5</f>
        <v>88.804642840000028</v>
      </c>
      <c r="D35" s="409"/>
      <c r="E35" s="410"/>
      <c r="F35" s="432"/>
      <c r="G35" s="414">
        <f>G32+G18+G10+G5</f>
        <v>88.804642840000028</v>
      </c>
      <c r="H35" s="72">
        <f t="shared" si="3"/>
        <v>0</v>
      </c>
    </row>
    <row r="36" spans="2:8" ht="27" customHeight="1" x14ac:dyDescent="0.25">
      <c r="B36" s="393" t="s">
        <v>213</v>
      </c>
      <c r="C36" s="394">
        <f>SUM(C37:C38)</f>
        <v>0.51044017799999997</v>
      </c>
      <c r="D36" s="398"/>
      <c r="E36" s="399"/>
      <c r="F36" s="433"/>
      <c r="G36" s="405">
        <f>SUM(G37:G38)</f>
        <v>0.51044017799999997</v>
      </c>
      <c r="H36" s="403">
        <f t="shared" si="3"/>
        <v>0</v>
      </c>
    </row>
    <row r="37" spans="2:8" ht="27" customHeight="1" outlineLevel="1" x14ac:dyDescent="0.25">
      <c r="B37" s="16" t="s">
        <v>214</v>
      </c>
      <c r="C37" s="17">
        <v>0.45219299800000001</v>
      </c>
      <c r="E37" s="19" t="s">
        <v>115</v>
      </c>
      <c r="F37" s="54">
        <v>0</v>
      </c>
      <c r="G37" s="20">
        <f>C37+F37/100*C37</f>
        <v>0.45219299800000001</v>
      </c>
      <c r="H37" s="21">
        <f t="shared" si="3"/>
        <v>0</v>
      </c>
    </row>
    <row r="38" spans="2:8" ht="27" customHeight="1" outlineLevel="1" x14ac:dyDescent="0.25">
      <c r="B38" s="16" t="s">
        <v>182</v>
      </c>
      <c r="C38" s="17">
        <v>5.8247179999999954E-2</v>
      </c>
      <c r="E38" s="19" t="s">
        <v>115</v>
      </c>
      <c r="F38" s="54">
        <v>0</v>
      </c>
      <c r="G38" s="20">
        <f>C38+F38/100*C38</f>
        <v>5.8247179999999954E-2</v>
      </c>
      <c r="H38" s="21">
        <f t="shared" si="3"/>
        <v>0</v>
      </c>
    </row>
    <row r="39" spans="2:8" ht="27" customHeight="1" x14ac:dyDescent="0.25">
      <c r="B39" s="393" t="s">
        <v>255</v>
      </c>
      <c r="C39" s="394">
        <f>SUM(C40:C51)</f>
        <v>162.90159098100003</v>
      </c>
      <c r="D39" s="398"/>
      <c r="E39" s="399"/>
      <c r="F39" s="400"/>
      <c r="G39" s="405">
        <f>SUM(G40:G51)</f>
        <v>162.90159098100003</v>
      </c>
      <c r="H39" s="403">
        <f t="shared" si="3"/>
        <v>0</v>
      </c>
    </row>
    <row r="40" spans="2:8" ht="21.6" customHeight="1" outlineLevel="1" x14ac:dyDescent="0.25">
      <c r="B40" s="16" t="s">
        <v>256</v>
      </c>
      <c r="C40" s="17"/>
      <c r="E40" s="19"/>
      <c r="G40" s="20"/>
      <c r="H40" s="21"/>
    </row>
    <row r="41" spans="2:8" ht="27" customHeight="1" outlineLevel="1" x14ac:dyDescent="0.25">
      <c r="B41" s="60" t="s">
        <v>401</v>
      </c>
      <c r="C41" s="17">
        <v>99.022743000000006</v>
      </c>
      <c r="E41" s="19" t="s">
        <v>115</v>
      </c>
      <c r="F41" s="54">
        <v>0</v>
      </c>
      <c r="G41" s="20">
        <f t="shared" ref="G41:G51" si="4">C41+F41/100*C41</f>
        <v>99.022743000000006</v>
      </c>
      <c r="H41" s="21">
        <f t="shared" ref="H41:H54" si="5">G41-C41</f>
        <v>0</v>
      </c>
    </row>
    <row r="42" spans="2:8" ht="27" customHeight="1" outlineLevel="1" x14ac:dyDescent="0.25">
      <c r="B42" s="60" t="s">
        <v>402</v>
      </c>
      <c r="C42" s="17">
        <v>1.7557662709999999</v>
      </c>
      <c r="E42" s="19" t="s">
        <v>115</v>
      </c>
      <c r="F42" s="54">
        <v>0</v>
      </c>
      <c r="G42" s="20">
        <f t="shared" si="4"/>
        <v>1.7557662709999999</v>
      </c>
      <c r="H42" s="21">
        <f t="shared" si="5"/>
        <v>0</v>
      </c>
    </row>
    <row r="43" spans="2:8" ht="27" customHeight="1" outlineLevel="1" x14ac:dyDescent="0.25">
      <c r="B43" s="60" t="s">
        <v>403</v>
      </c>
      <c r="C43" s="17">
        <v>29.807354374000003</v>
      </c>
      <c r="E43" s="19" t="s">
        <v>115</v>
      </c>
      <c r="F43" s="54">
        <v>0</v>
      </c>
      <c r="G43" s="20">
        <f t="shared" si="4"/>
        <v>29.807354374000003</v>
      </c>
      <c r="H43" s="21">
        <f t="shared" si="5"/>
        <v>0</v>
      </c>
    </row>
    <row r="44" spans="2:8" ht="27" customHeight="1" outlineLevel="1" x14ac:dyDescent="0.25">
      <c r="B44" s="60" t="s">
        <v>404</v>
      </c>
      <c r="C44" s="17">
        <v>3.9499589089999998</v>
      </c>
      <c r="E44" s="19" t="s">
        <v>115</v>
      </c>
      <c r="F44" s="54">
        <v>0</v>
      </c>
      <c r="G44" s="20">
        <f t="shared" si="4"/>
        <v>3.9499589089999998</v>
      </c>
      <c r="H44" s="21">
        <f t="shared" si="5"/>
        <v>0</v>
      </c>
    </row>
    <row r="45" spans="2:8" ht="27" customHeight="1" outlineLevel="1" x14ac:dyDescent="0.25">
      <c r="B45" s="16" t="s">
        <v>223</v>
      </c>
      <c r="C45" s="17">
        <v>2.2367536750000001</v>
      </c>
      <c r="E45" s="19" t="s">
        <v>115</v>
      </c>
      <c r="F45" s="54">
        <v>0</v>
      </c>
      <c r="G45" s="20">
        <f t="shared" si="4"/>
        <v>2.2367536750000001</v>
      </c>
      <c r="H45" s="21">
        <f t="shared" si="5"/>
        <v>0</v>
      </c>
    </row>
    <row r="46" spans="2:8" ht="27" customHeight="1" outlineLevel="1" x14ac:dyDescent="0.25">
      <c r="B46" s="16" t="s">
        <v>249</v>
      </c>
      <c r="C46" s="17">
        <v>1.6188340000000001</v>
      </c>
      <c r="E46" s="19" t="s">
        <v>115</v>
      </c>
      <c r="F46" s="54">
        <v>0</v>
      </c>
      <c r="G46" s="20">
        <f t="shared" si="4"/>
        <v>1.6188340000000001</v>
      </c>
      <c r="H46" s="21">
        <f t="shared" si="5"/>
        <v>0</v>
      </c>
    </row>
    <row r="47" spans="2:8" ht="27" customHeight="1" outlineLevel="1" x14ac:dyDescent="0.25">
      <c r="B47" s="16" t="s">
        <v>405</v>
      </c>
      <c r="C47" s="17">
        <v>9.4713527620000004</v>
      </c>
      <c r="E47" s="19" t="s">
        <v>115</v>
      </c>
      <c r="F47" s="54">
        <v>0</v>
      </c>
      <c r="G47" s="20">
        <f t="shared" si="4"/>
        <v>9.4713527620000004</v>
      </c>
      <c r="H47" s="21">
        <f t="shared" si="5"/>
        <v>0</v>
      </c>
    </row>
    <row r="48" spans="2:8" ht="27" customHeight="1" outlineLevel="1" x14ac:dyDescent="0.25">
      <c r="B48" s="67" t="s">
        <v>406</v>
      </c>
      <c r="C48" s="17">
        <v>2.599077286</v>
      </c>
      <c r="E48" s="19" t="s">
        <v>115</v>
      </c>
      <c r="F48" s="54">
        <v>0</v>
      </c>
      <c r="G48" s="20">
        <f t="shared" si="4"/>
        <v>2.599077286</v>
      </c>
      <c r="H48" s="21">
        <f t="shared" si="5"/>
        <v>0</v>
      </c>
    </row>
    <row r="49" spans="2:8" ht="27" customHeight="1" outlineLevel="1" x14ac:dyDescent="0.25">
      <c r="B49" s="67" t="s">
        <v>257</v>
      </c>
      <c r="C49" s="17">
        <v>0.15533395</v>
      </c>
      <c r="E49" s="19" t="s">
        <v>115</v>
      </c>
      <c r="F49" s="54">
        <v>0</v>
      </c>
      <c r="G49" s="20">
        <f t="shared" si="4"/>
        <v>0.15533395</v>
      </c>
      <c r="H49" s="21">
        <f t="shared" si="5"/>
        <v>0</v>
      </c>
    </row>
    <row r="50" spans="2:8" ht="27" customHeight="1" outlineLevel="1" x14ac:dyDescent="0.25">
      <c r="B50" s="16" t="s">
        <v>407</v>
      </c>
      <c r="C50" s="17">
        <v>0.24317162</v>
      </c>
      <c r="E50" s="19" t="s">
        <v>115</v>
      </c>
      <c r="F50" s="54">
        <v>0</v>
      </c>
      <c r="G50" s="20">
        <f t="shared" si="4"/>
        <v>0.24317162</v>
      </c>
      <c r="H50" s="21">
        <f t="shared" si="5"/>
        <v>0</v>
      </c>
    </row>
    <row r="51" spans="2:8" ht="27" customHeight="1" outlineLevel="1" x14ac:dyDescent="0.25">
      <c r="B51" s="16" t="s">
        <v>408</v>
      </c>
      <c r="C51" s="17">
        <v>12.041245134</v>
      </c>
      <c r="E51" s="19" t="s">
        <v>115</v>
      </c>
      <c r="F51" s="54">
        <v>0</v>
      </c>
      <c r="G51" s="20">
        <f t="shared" si="4"/>
        <v>12.041245134</v>
      </c>
      <c r="H51" s="21">
        <f t="shared" si="5"/>
        <v>0</v>
      </c>
    </row>
    <row r="52" spans="2:8" ht="27" customHeight="1" x14ac:dyDescent="0.25">
      <c r="B52" s="393" t="s">
        <v>227</v>
      </c>
      <c r="C52" s="394">
        <f>SUM(C53:C54)</f>
        <v>2.132216986</v>
      </c>
      <c r="D52" s="398"/>
      <c r="E52" s="399"/>
      <c r="F52" s="400"/>
      <c r="G52" s="405">
        <f>SUM(G53:G53)</f>
        <v>2.0972169859999998</v>
      </c>
      <c r="H52" s="403">
        <f t="shared" si="5"/>
        <v>-3.5000000000000142E-2</v>
      </c>
    </row>
    <row r="53" spans="2:8" ht="27" customHeight="1" outlineLevel="1" x14ac:dyDescent="0.25">
      <c r="B53" s="16" t="s">
        <v>409</v>
      </c>
      <c r="C53" s="17">
        <v>2.0972169859999998</v>
      </c>
      <c r="E53" s="19" t="s">
        <v>115</v>
      </c>
      <c r="F53" s="54">
        <v>0</v>
      </c>
      <c r="G53" s="20">
        <f>C53+F53/100*C53</f>
        <v>2.0972169859999998</v>
      </c>
      <c r="H53" s="21">
        <f t="shared" si="5"/>
        <v>0</v>
      </c>
    </row>
    <row r="54" spans="2:8" ht="27" customHeight="1" outlineLevel="1" x14ac:dyDescent="0.25">
      <c r="B54" s="16" t="s">
        <v>410</v>
      </c>
      <c r="C54" s="17">
        <v>3.5000000000000003E-2</v>
      </c>
      <c r="E54" s="19" t="s">
        <v>115</v>
      </c>
      <c r="F54" s="54">
        <v>0</v>
      </c>
      <c r="G54" s="20">
        <f>C54+F54/100*C54</f>
        <v>3.5000000000000003E-2</v>
      </c>
      <c r="H54" s="21">
        <f t="shared" si="5"/>
        <v>0</v>
      </c>
    </row>
    <row r="55" spans="2:8" ht="27" customHeight="1" x14ac:dyDescent="0.25">
      <c r="B55" s="37" t="s">
        <v>231</v>
      </c>
      <c r="C55" s="415">
        <f>C36+C39+C52</f>
        <v>165.54424814500004</v>
      </c>
      <c r="D55" s="409"/>
      <c r="E55" s="410"/>
      <c r="F55" s="434"/>
      <c r="G55" s="414">
        <f>G36+G39+G52</f>
        <v>165.50924814500004</v>
      </c>
      <c r="H55" s="72">
        <f>G55-C55</f>
        <v>-3.4999999999996589E-2</v>
      </c>
    </row>
    <row r="56" spans="2:8" ht="27" customHeight="1" x14ac:dyDescent="0.25">
      <c r="B56" s="39" t="s">
        <v>62</v>
      </c>
      <c r="C56" s="40">
        <f>C5+C10+C32+C18+C36+C52+C39</f>
        <v>254.34889098500003</v>
      </c>
      <c r="D56" s="44"/>
      <c r="E56" s="435"/>
      <c r="F56" s="436"/>
      <c r="G56" s="48">
        <f>G5+G10+G32+G18+G36+G52+G39</f>
        <v>254.31389098500006</v>
      </c>
      <c r="H56" s="62">
        <f>H5+H10+H32+H18+H36+H52+H39</f>
        <v>-3.5000000000000142E-2</v>
      </c>
    </row>
    <row r="57" spans="2:8" ht="27" customHeight="1" x14ac:dyDescent="0.25">
      <c r="B57" s="49"/>
      <c r="C57" s="31"/>
      <c r="E57" s="19"/>
      <c r="G57" s="20"/>
      <c r="H57" s="21"/>
    </row>
    <row r="58" spans="2:8" s="50" customFormat="1" ht="27" customHeight="1" x14ac:dyDescent="0.25">
      <c r="B58" s="393" t="s">
        <v>388</v>
      </c>
      <c r="C58" s="437">
        <v>247.11754580499999</v>
      </c>
      <c r="D58" s="423"/>
      <c r="E58" s="424"/>
      <c r="F58" s="425"/>
      <c r="G58" s="405">
        <f>C58</f>
        <v>247.11754580499999</v>
      </c>
      <c r="H58" s="403"/>
    </row>
    <row r="59" spans="2:8" s="50" customFormat="1" ht="27" customHeight="1" thickBot="1" x14ac:dyDescent="0.3">
      <c r="B59" s="51" t="s">
        <v>389</v>
      </c>
      <c r="C59" s="357">
        <f>C58-C56</f>
        <v>-7.2313451800000337</v>
      </c>
      <c r="D59" s="360"/>
      <c r="E59" s="53"/>
      <c r="F59" s="361"/>
      <c r="G59" s="364">
        <f>G58-G56</f>
        <v>-7.1963451800000655</v>
      </c>
      <c r="H59" s="363"/>
    </row>
  </sheetData>
  <sheetProtection algorithmName="SHA-512" hashValue="pmnwh56VxfMygCIOi4YFrvcfOUH+cSDwhxPvt+aI12h9CvbR28dc2DHSyLZERIYGDgEYr6VyUXflaU2CpDrRGw==" saltValue="7jcKNx65+6+VcWD85+6JVA==" spinCount="100000" sheet="1" objects="1" scenarios="1"/>
  <mergeCells count="6">
    <mergeCell ref="B3:B4"/>
    <mergeCell ref="E3:G3"/>
    <mergeCell ref="H3:H4"/>
    <mergeCell ref="B1:H1"/>
    <mergeCell ref="C4:D4"/>
    <mergeCell ref="C3:D3"/>
  </mergeCells>
  <pageMargins left="0.25" right="0.25" top="0.75" bottom="0.75" header="0.3" footer="0.3"/>
  <pageSetup paperSize="8" scale="5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7D4AA-AEFD-45E3-B35F-A7B3CA45197C}">
  <sheetPr>
    <tabColor rgb="FF00B050"/>
    <pageSetUpPr fitToPage="1"/>
  </sheetPr>
  <dimension ref="B1:C20"/>
  <sheetViews>
    <sheetView showGridLines="0" topLeftCell="A8" zoomScale="85" zoomScaleNormal="85" workbookViewId="0">
      <selection activeCell="C2" sqref="C2"/>
    </sheetView>
  </sheetViews>
  <sheetFormatPr defaultColWidth="8.85546875" defaultRowHeight="15" x14ac:dyDescent="0.2"/>
  <cols>
    <col min="1" max="1" width="4" style="74" customWidth="1"/>
    <col min="2" max="2" width="51.5703125" style="74" customWidth="1"/>
    <col min="3" max="3" width="147.140625" style="262" customWidth="1"/>
    <col min="4" max="16384" width="8.85546875" style="74"/>
  </cols>
  <sheetData>
    <row r="1" spans="2:3" ht="27" customHeight="1" x14ac:dyDescent="0.2"/>
    <row r="2" spans="2:3" ht="33.75" x14ac:dyDescent="0.2">
      <c r="C2" s="383" t="s">
        <v>473</v>
      </c>
    </row>
    <row r="3" spans="2:3" ht="44.25" customHeight="1" x14ac:dyDescent="0.2">
      <c r="C3" s="384" t="s">
        <v>372</v>
      </c>
    </row>
    <row r="4" spans="2:3" ht="69.75" customHeight="1" x14ac:dyDescent="0.2">
      <c r="C4" s="384" t="s">
        <v>474</v>
      </c>
    </row>
    <row r="5" spans="2:3" ht="22.9" customHeight="1" x14ac:dyDescent="0.2">
      <c r="C5" s="269" t="s">
        <v>258</v>
      </c>
    </row>
    <row r="6" spans="2:3" ht="17.45" customHeight="1" x14ac:dyDescent="0.2">
      <c r="C6" s="269" t="s">
        <v>475</v>
      </c>
    </row>
    <row r="7" spans="2:3" ht="36.75" customHeight="1" x14ac:dyDescent="0.2">
      <c r="C7" s="378" t="s">
        <v>487</v>
      </c>
    </row>
    <row r="8" spans="2:3" ht="78.599999999999994" customHeight="1" x14ac:dyDescent="0.2">
      <c r="C8" s="378" t="s">
        <v>373</v>
      </c>
    </row>
    <row r="9" spans="2:3" ht="37.5" customHeight="1" x14ac:dyDescent="0.2">
      <c r="C9" s="385" t="s">
        <v>476</v>
      </c>
    </row>
    <row r="10" spans="2:3" ht="28.15" customHeight="1" x14ac:dyDescent="0.2">
      <c r="B10" s="271"/>
      <c r="C10" s="386" t="s">
        <v>259</v>
      </c>
    </row>
    <row r="11" spans="2:3" ht="70.5" customHeight="1" x14ac:dyDescent="0.2">
      <c r="C11" s="385" t="s">
        <v>488</v>
      </c>
    </row>
    <row r="12" spans="2:3" ht="36.6" customHeight="1" x14ac:dyDescent="0.2">
      <c r="C12" s="264" t="s">
        <v>19</v>
      </c>
    </row>
    <row r="13" spans="2:3" s="271" customFormat="1" ht="20.45" customHeight="1" x14ac:dyDescent="0.25">
      <c r="C13" s="266" t="s">
        <v>471</v>
      </c>
    </row>
    <row r="14" spans="2:3" x14ac:dyDescent="0.2">
      <c r="C14" s="267"/>
    </row>
    <row r="15" spans="2:3" ht="16.5" x14ac:dyDescent="0.2">
      <c r="B15" s="549"/>
      <c r="C15" s="700"/>
    </row>
    <row r="16" spans="2:3" ht="15" customHeight="1" x14ac:dyDescent="0.2">
      <c r="C16" s="700"/>
    </row>
    <row r="17" spans="3:3" ht="15" customHeight="1" x14ac:dyDescent="0.2">
      <c r="C17" s="700"/>
    </row>
    <row r="18" spans="3:3" x14ac:dyDescent="0.2">
      <c r="C18" s="268"/>
    </row>
    <row r="19" spans="3:3" x14ac:dyDescent="0.2">
      <c r="C19" s="268"/>
    </row>
    <row r="20" spans="3:3" x14ac:dyDescent="0.2">
      <c r="C20" s="268"/>
    </row>
  </sheetData>
  <sheetProtection algorithmName="SHA-512" hashValue="6iInNIZ5C5LUQXPstGmA/PcIS+WOUSBozbbi5Djr31SQZjC6LQ0vL239isMIuEYl0F6/SdTKPXHsu7zmpsLjKA==" saltValue="QM/+8jta3IYy6CLsgAJoEA==" spinCount="100000" sheet="1" objects="1" scenarios="1"/>
  <mergeCells count="1">
    <mergeCell ref="C15:C17"/>
  </mergeCells>
  <pageMargins left="0.25" right="0.25" top="0.75" bottom="0.75" header="0.3" footer="0.3"/>
  <pageSetup paperSize="9" scale="7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D2B52-687C-4AFF-8FF2-54EB16929537}">
  <sheetPr>
    <tabColor rgb="FF00B050"/>
    <pageSetUpPr fitToPage="1"/>
  </sheetPr>
  <dimension ref="B1:N105"/>
  <sheetViews>
    <sheetView zoomScale="55" zoomScaleNormal="55" workbookViewId="0">
      <selection activeCell="G117" sqref="G117"/>
    </sheetView>
  </sheetViews>
  <sheetFormatPr defaultColWidth="9.140625" defaultRowHeight="15" outlineLevelRow="1" x14ac:dyDescent="0.25"/>
  <cols>
    <col min="1" max="1" width="4.140625" style="189" customWidth="1"/>
    <col min="2" max="2" width="117" style="189" customWidth="1"/>
    <col min="3" max="3" width="24.140625" style="196" customWidth="1"/>
    <col min="4" max="4" width="25.5703125" style="193" customWidth="1"/>
    <col min="5" max="5" width="13.28515625" style="192" customWidth="1"/>
    <col min="6" max="6" width="23" style="193" customWidth="1"/>
    <col min="7" max="7" width="15.7109375" style="192" customWidth="1"/>
    <col min="8" max="8" width="7.7109375" style="189" customWidth="1"/>
    <col min="9" max="9" width="36.42578125" style="193" customWidth="1"/>
    <col min="10" max="10" width="20.7109375" style="194" customWidth="1"/>
    <col min="11" max="11" width="20.7109375" style="195" customWidth="1"/>
    <col min="12" max="12" width="20.7109375" style="192" customWidth="1"/>
    <col min="13" max="13" width="20.7109375" style="196" bestFit="1" customWidth="1"/>
    <col min="14" max="14" width="18" style="197" bestFit="1" customWidth="1"/>
    <col min="15" max="15" width="18.42578125" style="189" customWidth="1"/>
    <col min="16" max="16" width="63.28515625" style="189" customWidth="1"/>
    <col min="17" max="16384" width="9.140625" style="189"/>
  </cols>
  <sheetData>
    <row r="1" spans="2:14" ht="165" customHeight="1" x14ac:dyDescent="0.25">
      <c r="C1" s="710" t="s">
        <v>477</v>
      </c>
      <c r="D1" s="710"/>
      <c r="E1" s="710"/>
      <c r="F1" s="710"/>
      <c r="G1" s="710"/>
      <c r="H1" s="710"/>
      <c r="I1" s="710"/>
      <c r="J1" s="710"/>
      <c r="K1" s="710"/>
      <c r="L1" s="710"/>
      <c r="M1" s="710"/>
      <c r="N1" s="710"/>
    </row>
    <row r="2" spans="2:14" ht="16.5" thickBot="1" x14ac:dyDescent="0.3">
      <c r="C2" s="190"/>
      <c r="D2" s="191"/>
    </row>
    <row r="3" spans="2:14" ht="23.25" customHeight="1" x14ac:dyDescent="0.25">
      <c r="B3" s="701" t="s">
        <v>99</v>
      </c>
      <c r="C3" s="703" t="s">
        <v>384</v>
      </c>
      <c r="D3" s="704"/>
      <c r="E3" s="704"/>
      <c r="F3" s="704"/>
      <c r="G3" s="705"/>
      <c r="H3" s="198"/>
      <c r="I3" s="706" t="s">
        <v>100</v>
      </c>
      <c r="J3" s="704"/>
      <c r="K3" s="704"/>
      <c r="L3" s="704"/>
      <c r="M3" s="707"/>
      <c r="N3" s="708" t="s">
        <v>101</v>
      </c>
    </row>
    <row r="4" spans="2:14" ht="32.25" customHeight="1" thickBot="1" x14ac:dyDescent="0.3">
      <c r="B4" s="702"/>
      <c r="C4" s="199" t="s">
        <v>102</v>
      </c>
      <c r="D4" s="588" t="s">
        <v>103</v>
      </c>
      <c r="E4" s="588" t="s">
        <v>104</v>
      </c>
      <c r="F4" s="588" t="s">
        <v>105</v>
      </c>
      <c r="G4" s="286" t="s">
        <v>106</v>
      </c>
      <c r="H4" s="588"/>
      <c r="I4" s="589" t="s">
        <v>103</v>
      </c>
      <c r="J4" s="588" t="s">
        <v>104</v>
      </c>
      <c r="K4" s="588" t="s">
        <v>105</v>
      </c>
      <c r="L4" s="588" t="s">
        <v>106</v>
      </c>
      <c r="M4" s="590" t="s">
        <v>102</v>
      </c>
      <c r="N4" s="709"/>
    </row>
    <row r="5" spans="2:14" ht="27" customHeight="1" x14ac:dyDescent="0.25">
      <c r="B5" s="591" t="s">
        <v>107</v>
      </c>
      <c r="C5" s="592">
        <f>SUM(C6:C8)</f>
        <v>6.4493252170899993</v>
      </c>
      <c r="D5" s="593"/>
      <c r="E5" s="594"/>
      <c r="F5" s="593"/>
      <c r="G5" s="595"/>
      <c r="H5" s="596"/>
      <c r="I5" s="597"/>
      <c r="J5" s="598"/>
      <c r="K5" s="599"/>
      <c r="L5" s="594"/>
      <c r="M5" s="600">
        <f>SUM(M6:M8)</f>
        <v>6.4493252170899993</v>
      </c>
      <c r="N5" s="601">
        <f t="shared" ref="N5:N14" si="0">M5-C5</f>
        <v>0</v>
      </c>
    </row>
    <row r="6" spans="2:14" ht="27" customHeight="1" outlineLevel="1" x14ac:dyDescent="0.25">
      <c r="B6" s="200" t="s">
        <v>108</v>
      </c>
      <c r="C6" s="201">
        <v>4.2785764663999997</v>
      </c>
      <c r="D6" s="602" t="s">
        <v>479</v>
      </c>
      <c r="E6" s="603">
        <v>6646</v>
      </c>
      <c r="F6" s="195" t="s">
        <v>480</v>
      </c>
      <c r="G6" s="604">
        <f>IFERROR(C6*1000000000/E6/12,"")</f>
        <v>53648.516230313973</v>
      </c>
      <c r="I6" s="202" t="s">
        <v>489</v>
      </c>
      <c r="J6" s="203">
        <v>6646</v>
      </c>
      <c r="K6" s="195" t="s">
        <v>480</v>
      </c>
      <c r="L6" s="203">
        <v>53648.516230313973</v>
      </c>
      <c r="M6" s="204">
        <f>J6*L6*12/1000000000</f>
        <v>4.2785764663999997</v>
      </c>
      <c r="N6" s="205">
        <f t="shared" si="0"/>
        <v>0</v>
      </c>
    </row>
    <row r="7" spans="2:14" ht="27" customHeight="1" outlineLevel="1" x14ac:dyDescent="0.25">
      <c r="B7" s="200" t="s">
        <v>260</v>
      </c>
      <c r="C7" s="201">
        <v>1.5861772653599999</v>
      </c>
      <c r="F7" s="195"/>
      <c r="G7" s="206"/>
      <c r="I7" s="202" t="s">
        <v>115</v>
      </c>
      <c r="J7" s="203">
        <v>0</v>
      </c>
      <c r="M7" s="204">
        <f>C7+J7/100*C7</f>
        <v>1.5861772653599999</v>
      </c>
      <c r="N7" s="205">
        <f t="shared" si="0"/>
        <v>0</v>
      </c>
    </row>
    <row r="8" spans="2:14" ht="27" customHeight="1" outlineLevel="1" x14ac:dyDescent="0.25">
      <c r="B8" s="200" t="s">
        <v>117</v>
      </c>
      <c r="C8" s="201">
        <v>0.58457148532999992</v>
      </c>
      <c r="E8" s="196"/>
      <c r="G8" s="206"/>
      <c r="I8" s="202" t="s">
        <v>115</v>
      </c>
      <c r="J8" s="203">
        <v>0</v>
      </c>
      <c r="M8" s="204">
        <f>C8+J8/100*C8</f>
        <v>0.58457148532999992</v>
      </c>
      <c r="N8" s="205">
        <f t="shared" si="0"/>
        <v>0</v>
      </c>
    </row>
    <row r="9" spans="2:14" ht="27" customHeight="1" x14ac:dyDescent="0.25">
      <c r="B9" s="591" t="s">
        <v>481</v>
      </c>
      <c r="C9" s="592">
        <f>SUM(C10:C14)</f>
        <v>7.9397302309300004</v>
      </c>
      <c r="D9" s="593"/>
      <c r="E9" s="593"/>
      <c r="F9" s="593"/>
      <c r="G9" s="595"/>
      <c r="H9" s="596"/>
      <c r="I9" s="597"/>
      <c r="J9" s="598"/>
      <c r="K9" s="599"/>
      <c r="L9" s="594"/>
      <c r="M9" s="605">
        <f>SUM(M10:M14)</f>
        <v>7.9397302309300004</v>
      </c>
      <c r="N9" s="601">
        <f t="shared" si="0"/>
        <v>0</v>
      </c>
    </row>
    <row r="10" spans="2:14" ht="27" customHeight="1" outlineLevel="1" x14ac:dyDescent="0.25">
      <c r="B10" s="200" t="s">
        <v>122</v>
      </c>
      <c r="C10" s="201"/>
      <c r="G10" s="206"/>
      <c r="I10" s="202"/>
      <c r="J10" s="389"/>
      <c r="M10" s="204"/>
      <c r="N10" s="205"/>
    </row>
    <row r="11" spans="2:14" ht="27" customHeight="1" outlineLevel="1" x14ac:dyDescent="0.25">
      <c r="B11" s="207" t="s">
        <v>176</v>
      </c>
      <c r="C11" s="201">
        <v>1.6487943726400001</v>
      </c>
      <c r="G11" s="206"/>
      <c r="I11" s="202" t="s">
        <v>115</v>
      </c>
      <c r="J11" s="203">
        <v>0</v>
      </c>
      <c r="M11" s="204">
        <f t="shared" ref="M11:M14" si="1">C11+J11/100*C11</f>
        <v>1.6487943726400001</v>
      </c>
      <c r="N11" s="205">
        <f t="shared" ref="N11:N13" si="2">M11-C11</f>
        <v>0</v>
      </c>
    </row>
    <row r="12" spans="2:14" ht="27" customHeight="1" outlineLevel="1" x14ac:dyDescent="0.25">
      <c r="B12" s="207" t="s">
        <v>182</v>
      </c>
      <c r="C12" s="201">
        <v>0.69763805847999982</v>
      </c>
      <c r="G12" s="206"/>
      <c r="I12" s="202" t="s">
        <v>115</v>
      </c>
      <c r="J12" s="203">
        <v>0</v>
      </c>
      <c r="M12" s="204">
        <f t="shared" si="1"/>
        <v>0.69763805847999982</v>
      </c>
      <c r="N12" s="205">
        <f t="shared" si="2"/>
        <v>0</v>
      </c>
    </row>
    <row r="13" spans="2:14" ht="27" customHeight="1" outlineLevel="1" x14ac:dyDescent="0.25">
      <c r="B13" s="200" t="s">
        <v>133</v>
      </c>
      <c r="C13" s="201">
        <v>2.9420165789899997</v>
      </c>
      <c r="G13" s="206"/>
      <c r="I13" s="202" t="s">
        <v>115</v>
      </c>
      <c r="J13" s="203">
        <v>0</v>
      </c>
      <c r="M13" s="204">
        <f t="shared" si="1"/>
        <v>2.9420165789899997</v>
      </c>
      <c r="N13" s="205">
        <f t="shared" si="2"/>
        <v>0</v>
      </c>
    </row>
    <row r="14" spans="2:14" ht="27" customHeight="1" outlineLevel="1" x14ac:dyDescent="0.25">
      <c r="B14" s="200" t="s">
        <v>134</v>
      </c>
      <c r="C14" s="201">
        <v>2.6512812208200005</v>
      </c>
      <c r="G14" s="206"/>
      <c r="I14" s="202" t="s">
        <v>115</v>
      </c>
      <c r="J14" s="203">
        <v>0</v>
      </c>
      <c r="M14" s="204">
        <f t="shared" si="1"/>
        <v>2.6512812208200005</v>
      </c>
      <c r="N14" s="205">
        <f t="shared" si="0"/>
        <v>0</v>
      </c>
    </row>
    <row r="15" spans="2:14" ht="27" customHeight="1" x14ac:dyDescent="0.25">
      <c r="B15" s="591" t="s">
        <v>174</v>
      </c>
      <c r="C15" s="592">
        <f>SUM(C16:C57)</f>
        <v>284.55939858424989</v>
      </c>
      <c r="D15" s="593"/>
      <c r="E15" s="593"/>
      <c r="F15" s="593"/>
      <c r="G15" s="595"/>
      <c r="H15" s="596"/>
      <c r="I15" s="597"/>
      <c r="J15" s="598"/>
      <c r="K15" s="599"/>
      <c r="L15" s="594"/>
      <c r="M15" s="605">
        <f>SUM(M16:M57)</f>
        <v>284.55939858424989</v>
      </c>
      <c r="N15" s="601">
        <f>M15-C15</f>
        <v>0</v>
      </c>
    </row>
    <row r="16" spans="2:14" ht="27" customHeight="1" outlineLevel="1" x14ac:dyDescent="0.25">
      <c r="B16" s="200" t="s">
        <v>261</v>
      </c>
      <c r="C16" s="201"/>
      <c r="G16" s="206"/>
      <c r="I16" s="202"/>
      <c r="M16" s="204"/>
      <c r="N16" s="205"/>
    </row>
    <row r="17" spans="2:14" ht="27" customHeight="1" outlineLevel="1" x14ac:dyDescent="0.25">
      <c r="B17" s="207" t="s">
        <v>176</v>
      </c>
      <c r="C17" s="201">
        <v>19.591757519560002</v>
      </c>
      <c r="G17" s="206"/>
      <c r="I17" s="202" t="s">
        <v>115</v>
      </c>
      <c r="J17" s="203">
        <v>0</v>
      </c>
      <c r="M17" s="204">
        <f t="shared" ref="M17:M57" si="3">C17+J17/100*C17</f>
        <v>19.591757519560002</v>
      </c>
      <c r="N17" s="205">
        <f t="shared" ref="N17:N59" si="4">M17-C17</f>
        <v>0</v>
      </c>
    </row>
    <row r="18" spans="2:14" ht="27" customHeight="1" outlineLevel="1" x14ac:dyDescent="0.25">
      <c r="B18" s="207" t="s">
        <v>187</v>
      </c>
      <c r="C18" s="201">
        <v>7.5697115403100002</v>
      </c>
      <c r="E18" s="365"/>
      <c r="G18" s="206"/>
      <c r="I18" s="202" t="s">
        <v>115</v>
      </c>
      <c r="J18" s="203">
        <v>0</v>
      </c>
      <c r="M18" s="204">
        <f t="shared" si="3"/>
        <v>7.5697115403100002</v>
      </c>
      <c r="N18" s="205">
        <f t="shared" si="4"/>
        <v>0</v>
      </c>
    </row>
    <row r="19" spans="2:14" ht="27" customHeight="1" outlineLevel="1" x14ac:dyDescent="0.25">
      <c r="B19" s="207" t="s">
        <v>185</v>
      </c>
      <c r="C19" s="201">
        <v>0.87852389674999998</v>
      </c>
      <c r="G19" s="206"/>
      <c r="I19" s="202" t="s">
        <v>115</v>
      </c>
      <c r="J19" s="203">
        <v>0</v>
      </c>
      <c r="M19" s="204">
        <f t="shared" si="3"/>
        <v>0.87852389674999998</v>
      </c>
      <c r="N19" s="205">
        <f t="shared" si="4"/>
        <v>0</v>
      </c>
    </row>
    <row r="20" spans="2:14" ht="27" customHeight="1" outlineLevel="1" x14ac:dyDescent="0.25">
      <c r="B20" s="207" t="s">
        <v>182</v>
      </c>
      <c r="C20" s="201">
        <v>1.4743084614299962</v>
      </c>
      <c r="G20" s="206"/>
      <c r="I20" s="202" t="s">
        <v>115</v>
      </c>
      <c r="J20" s="203">
        <v>0</v>
      </c>
      <c r="M20" s="204">
        <f t="shared" si="3"/>
        <v>1.4743084614299962</v>
      </c>
      <c r="N20" s="205">
        <f t="shared" si="4"/>
        <v>0</v>
      </c>
    </row>
    <row r="21" spans="2:14" ht="27" customHeight="1" outlineLevel="1" x14ac:dyDescent="0.25">
      <c r="B21" s="200" t="s">
        <v>262</v>
      </c>
      <c r="C21" s="201"/>
      <c r="G21" s="206"/>
      <c r="I21" s="202"/>
      <c r="J21" s="389"/>
      <c r="M21" s="204"/>
      <c r="N21" s="205"/>
    </row>
    <row r="22" spans="2:14" ht="27" customHeight="1" outlineLevel="1" x14ac:dyDescent="0.25">
      <c r="B22" s="207" t="s">
        <v>187</v>
      </c>
      <c r="C22" s="201">
        <v>2.6453112957</v>
      </c>
      <c r="G22" s="206"/>
      <c r="I22" s="202" t="s">
        <v>115</v>
      </c>
      <c r="J22" s="203">
        <v>0</v>
      </c>
      <c r="M22" s="204">
        <f t="shared" si="3"/>
        <v>2.6453112957</v>
      </c>
      <c r="N22" s="205">
        <f t="shared" si="4"/>
        <v>0</v>
      </c>
    </row>
    <row r="23" spans="2:14" ht="27" customHeight="1" outlineLevel="1" x14ac:dyDescent="0.25">
      <c r="B23" s="207" t="s">
        <v>184</v>
      </c>
      <c r="C23" s="201">
        <v>0.50206603455999999</v>
      </c>
      <c r="D23" s="366"/>
      <c r="G23" s="206"/>
      <c r="I23" s="202" t="s">
        <v>115</v>
      </c>
      <c r="J23" s="203">
        <v>0</v>
      </c>
      <c r="M23" s="204">
        <f t="shared" si="3"/>
        <v>0.50206603455999999</v>
      </c>
      <c r="N23" s="205">
        <f t="shared" si="4"/>
        <v>0</v>
      </c>
    </row>
    <row r="24" spans="2:14" ht="27" customHeight="1" outlineLevel="1" x14ac:dyDescent="0.25">
      <c r="B24" s="207" t="s">
        <v>186</v>
      </c>
      <c r="C24" s="201">
        <v>0.93348114044999997</v>
      </c>
      <c r="D24" s="189"/>
      <c r="G24" s="206"/>
      <c r="I24" s="202" t="s">
        <v>115</v>
      </c>
      <c r="J24" s="203">
        <v>0</v>
      </c>
      <c r="M24" s="204">
        <f t="shared" si="3"/>
        <v>0.93348114044999997</v>
      </c>
      <c r="N24" s="205">
        <f t="shared" si="4"/>
        <v>0</v>
      </c>
    </row>
    <row r="25" spans="2:14" ht="27" customHeight="1" outlineLevel="1" x14ac:dyDescent="0.25">
      <c r="B25" s="207" t="s">
        <v>185</v>
      </c>
      <c r="C25" s="201">
        <v>11.619525557200001</v>
      </c>
      <c r="G25" s="206"/>
      <c r="I25" s="202" t="s">
        <v>115</v>
      </c>
      <c r="J25" s="203">
        <v>0</v>
      </c>
      <c r="M25" s="204">
        <f t="shared" si="3"/>
        <v>11.619525557200001</v>
      </c>
      <c r="N25" s="205">
        <f t="shared" si="4"/>
        <v>0</v>
      </c>
    </row>
    <row r="26" spans="2:14" ht="27" customHeight="1" outlineLevel="1" x14ac:dyDescent="0.25">
      <c r="B26" s="207" t="s">
        <v>182</v>
      </c>
      <c r="C26" s="201">
        <v>0.88136671980000114</v>
      </c>
      <c r="G26" s="206"/>
      <c r="I26" s="202" t="s">
        <v>115</v>
      </c>
      <c r="J26" s="203">
        <v>0</v>
      </c>
      <c r="M26" s="204">
        <f t="shared" si="3"/>
        <v>0.88136671980000114</v>
      </c>
      <c r="N26" s="205">
        <f t="shared" si="4"/>
        <v>0</v>
      </c>
    </row>
    <row r="27" spans="2:14" ht="27" customHeight="1" outlineLevel="1" x14ac:dyDescent="0.25">
      <c r="B27" s="200" t="s">
        <v>263</v>
      </c>
      <c r="C27" s="201"/>
      <c r="G27" s="206"/>
      <c r="I27" s="202"/>
      <c r="J27" s="389"/>
      <c r="M27" s="204"/>
      <c r="N27" s="205"/>
    </row>
    <row r="28" spans="2:14" ht="27" customHeight="1" outlineLevel="1" x14ac:dyDescent="0.25">
      <c r="B28" s="207" t="s">
        <v>176</v>
      </c>
      <c r="C28" s="201">
        <v>1.5469088927500001</v>
      </c>
      <c r="D28" s="189"/>
      <c r="G28" s="206"/>
      <c r="I28" s="202" t="s">
        <v>115</v>
      </c>
      <c r="J28" s="203">
        <v>0</v>
      </c>
      <c r="M28" s="204">
        <f t="shared" si="3"/>
        <v>1.5469088927500001</v>
      </c>
      <c r="N28" s="205">
        <f t="shared" si="4"/>
        <v>0</v>
      </c>
    </row>
    <row r="29" spans="2:14" ht="27" customHeight="1" outlineLevel="1" x14ac:dyDescent="0.25">
      <c r="B29" s="207" t="s">
        <v>185</v>
      </c>
      <c r="C29" s="201">
        <v>5.4859702432200006</v>
      </c>
      <c r="D29" s="189"/>
      <c r="G29" s="206"/>
      <c r="I29" s="202" t="s">
        <v>115</v>
      </c>
      <c r="J29" s="203">
        <v>0</v>
      </c>
      <c r="M29" s="204">
        <f t="shared" si="3"/>
        <v>5.4859702432200006</v>
      </c>
      <c r="N29" s="205">
        <f t="shared" si="4"/>
        <v>0</v>
      </c>
    </row>
    <row r="30" spans="2:14" ht="27" customHeight="1" outlineLevel="1" x14ac:dyDescent="0.25">
      <c r="B30" s="207" t="s">
        <v>182</v>
      </c>
      <c r="C30" s="201">
        <v>2.1392059983100005</v>
      </c>
      <c r="D30" s="189"/>
      <c r="G30" s="206"/>
      <c r="I30" s="202" t="s">
        <v>115</v>
      </c>
      <c r="J30" s="203">
        <v>0</v>
      </c>
      <c r="M30" s="204">
        <f t="shared" si="3"/>
        <v>2.1392059983100005</v>
      </c>
      <c r="N30" s="205">
        <f t="shared" si="4"/>
        <v>0</v>
      </c>
    </row>
    <row r="31" spans="2:14" ht="27" customHeight="1" outlineLevel="1" x14ac:dyDescent="0.25">
      <c r="B31" s="200" t="s">
        <v>264</v>
      </c>
      <c r="C31" s="201"/>
      <c r="D31" s="189"/>
      <c r="G31" s="206"/>
      <c r="I31" s="202"/>
      <c r="J31" s="389"/>
      <c r="M31" s="204"/>
      <c r="N31" s="205"/>
    </row>
    <row r="32" spans="2:14" ht="27" customHeight="1" outlineLevel="1" x14ac:dyDescent="0.25">
      <c r="B32" s="207" t="s">
        <v>176</v>
      </c>
      <c r="C32" s="201">
        <v>25.59103688015</v>
      </c>
      <c r="D32" s="189"/>
      <c r="G32" s="206"/>
      <c r="I32" s="202" t="s">
        <v>115</v>
      </c>
      <c r="J32" s="203">
        <v>0</v>
      </c>
      <c r="M32" s="204">
        <f t="shared" si="3"/>
        <v>25.59103688015</v>
      </c>
      <c r="N32" s="205">
        <f t="shared" si="4"/>
        <v>0</v>
      </c>
    </row>
    <row r="33" spans="2:14" ht="27" customHeight="1" outlineLevel="1" x14ac:dyDescent="0.25">
      <c r="B33" s="207" t="s">
        <v>187</v>
      </c>
      <c r="C33" s="201"/>
      <c r="D33" s="189"/>
      <c r="G33" s="206"/>
      <c r="I33" s="202"/>
      <c r="J33" s="389"/>
      <c r="M33" s="204"/>
      <c r="N33" s="205"/>
    </row>
    <row r="34" spans="2:14" ht="27" customHeight="1" outlineLevel="1" x14ac:dyDescent="0.25">
      <c r="B34" s="208" t="s">
        <v>265</v>
      </c>
      <c r="C34" s="201">
        <v>6.6014424541499999</v>
      </c>
      <c r="G34" s="206"/>
      <c r="I34" s="202" t="s">
        <v>115</v>
      </c>
      <c r="J34" s="203">
        <v>0</v>
      </c>
      <c r="M34" s="204">
        <f t="shared" si="3"/>
        <v>6.6014424541499999</v>
      </c>
      <c r="N34" s="205">
        <f t="shared" si="4"/>
        <v>0</v>
      </c>
    </row>
    <row r="35" spans="2:14" ht="27" customHeight="1" outlineLevel="1" x14ac:dyDescent="0.25">
      <c r="B35" s="208" t="s">
        <v>266</v>
      </c>
      <c r="C35" s="201">
        <v>43.440962434960007</v>
      </c>
      <c r="G35" s="206"/>
      <c r="I35" s="202" t="s">
        <v>115</v>
      </c>
      <c r="J35" s="203">
        <v>0</v>
      </c>
      <c r="M35" s="204">
        <f t="shared" si="3"/>
        <v>43.440962434960007</v>
      </c>
      <c r="N35" s="205">
        <f t="shared" si="4"/>
        <v>0</v>
      </c>
    </row>
    <row r="36" spans="2:14" ht="27" customHeight="1" outlineLevel="1" x14ac:dyDescent="0.25">
      <c r="B36" s="208" t="s">
        <v>267</v>
      </c>
      <c r="C36" s="201">
        <v>2.7164870742499998</v>
      </c>
      <c r="G36" s="206"/>
      <c r="I36" s="202" t="s">
        <v>115</v>
      </c>
      <c r="J36" s="203">
        <v>0</v>
      </c>
      <c r="M36" s="204">
        <f t="shared" si="3"/>
        <v>2.7164870742499998</v>
      </c>
      <c r="N36" s="205">
        <f t="shared" si="4"/>
        <v>0</v>
      </c>
    </row>
    <row r="37" spans="2:14" ht="27" customHeight="1" outlineLevel="1" x14ac:dyDescent="0.25">
      <c r="B37" s="208" t="s">
        <v>268</v>
      </c>
      <c r="C37" s="201">
        <v>3.1227991366899994</v>
      </c>
      <c r="G37" s="206"/>
      <c r="I37" s="202" t="s">
        <v>115</v>
      </c>
      <c r="J37" s="203">
        <v>0</v>
      </c>
      <c r="M37" s="204">
        <f t="shared" si="3"/>
        <v>3.1227991366899994</v>
      </c>
      <c r="N37" s="205">
        <f t="shared" si="4"/>
        <v>0</v>
      </c>
    </row>
    <row r="38" spans="2:14" ht="27" customHeight="1" outlineLevel="1" x14ac:dyDescent="0.25">
      <c r="B38" s="208" t="s">
        <v>482</v>
      </c>
      <c r="C38" s="201">
        <v>3.8218789029300004</v>
      </c>
      <c r="G38" s="206"/>
      <c r="I38" s="202" t="s">
        <v>115</v>
      </c>
      <c r="J38" s="203">
        <v>0</v>
      </c>
      <c r="M38" s="204">
        <f t="shared" si="3"/>
        <v>3.8218789029300004</v>
      </c>
      <c r="N38" s="205">
        <f t="shared" si="4"/>
        <v>0</v>
      </c>
    </row>
    <row r="39" spans="2:14" ht="27" customHeight="1" outlineLevel="1" x14ac:dyDescent="0.25">
      <c r="B39" s="208" t="s">
        <v>182</v>
      </c>
      <c r="C39" s="201">
        <v>0.59021761713999155</v>
      </c>
      <c r="G39" s="206"/>
      <c r="I39" s="202" t="s">
        <v>115</v>
      </c>
      <c r="J39" s="203">
        <v>0</v>
      </c>
      <c r="M39" s="204">
        <f t="shared" si="3"/>
        <v>0.59021761713999155</v>
      </c>
      <c r="N39" s="205">
        <f t="shared" si="4"/>
        <v>0</v>
      </c>
    </row>
    <row r="40" spans="2:14" ht="27" customHeight="1" outlineLevel="1" x14ac:dyDescent="0.25">
      <c r="B40" s="207" t="s">
        <v>184</v>
      </c>
      <c r="C40" s="201">
        <v>3.9084267529899996</v>
      </c>
      <c r="G40" s="206"/>
      <c r="I40" s="202" t="s">
        <v>115</v>
      </c>
      <c r="J40" s="203">
        <v>0</v>
      </c>
      <c r="M40" s="204">
        <f t="shared" si="3"/>
        <v>3.9084267529899996</v>
      </c>
      <c r="N40" s="205">
        <f t="shared" si="4"/>
        <v>0</v>
      </c>
    </row>
    <row r="41" spans="2:14" ht="27" customHeight="1" outlineLevel="1" x14ac:dyDescent="0.25">
      <c r="B41" s="207" t="s">
        <v>269</v>
      </c>
      <c r="C41" s="201">
        <v>6.2332905208699998</v>
      </c>
      <c r="D41" s="189"/>
      <c r="G41" s="206"/>
      <c r="I41" s="202" t="s">
        <v>115</v>
      </c>
      <c r="J41" s="203">
        <v>0</v>
      </c>
      <c r="M41" s="204">
        <f t="shared" si="3"/>
        <v>6.2332905208699998</v>
      </c>
      <c r="N41" s="205">
        <f t="shared" si="4"/>
        <v>0</v>
      </c>
    </row>
    <row r="42" spans="2:14" ht="27" customHeight="1" outlineLevel="1" x14ac:dyDescent="0.25">
      <c r="B42" s="207" t="s">
        <v>185</v>
      </c>
      <c r="C42" s="201">
        <v>10.635395248770001</v>
      </c>
      <c r="D42" s="189"/>
      <c r="G42" s="206"/>
      <c r="I42" s="202" t="s">
        <v>115</v>
      </c>
      <c r="J42" s="203">
        <v>0</v>
      </c>
      <c r="M42" s="204">
        <f t="shared" si="3"/>
        <v>10.635395248770001</v>
      </c>
      <c r="N42" s="205">
        <f t="shared" si="4"/>
        <v>0</v>
      </c>
    </row>
    <row r="43" spans="2:14" ht="27" customHeight="1" outlineLevel="1" x14ac:dyDescent="0.25">
      <c r="B43" s="207" t="s">
        <v>182</v>
      </c>
      <c r="C43" s="201">
        <v>1.2235467565099738</v>
      </c>
      <c r="D43" s="189"/>
      <c r="G43" s="206"/>
      <c r="I43" s="202" t="s">
        <v>115</v>
      </c>
      <c r="J43" s="203">
        <v>0</v>
      </c>
      <c r="M43" s="204">
        <f t="shared" si="3"/>
        <v>1.2235467565099738</v>
      </c>
      <c r="N43" s="205">
        <f t="shared" si="4"/>
        <v>0</v>
      </c>
    </row>
    <row r="44" spans="2:14" ht="27" customHeight="1" outlineLevel="1" x14ac:dyDescent="0.25">
      <c r="B44" s="200" t="s">
        <v>270</v>
      </c>
      <c r="C44" s="201"/>
      <c r="D44" s="189"/>
      <c r="G44" s="206"/>
      <c r="I44" s="202"/>
      <c r="J44" s="389"/>
      <c r="M44" s="204"/>
      <c r="N44" s="205"/>
    </row>
    <row r="45" spans="2:14" ht="27" customHeight="1" outlineLevel="1" x14ac:dyDescent="0.25">
      <c r="B45" s="207" t="s">
        <v>187</v>
      </c>
      <c r="C45" s="201"/>
      <c r="D45" s="189"/>
      <c r="G45" s="206"/>
      <c r="I45" s="202"/>
      <c r="J45" s="389"/>
      <c r="M45" s="204"/>
      <c r="N45" s="205"/>
    </row>
    <row r="46" spans="2:14" ht="27" customHeight="1" outlineLevel="1" x14ac:dyDescent="0.25">
      <c r="B46" s="208" t="s">
        <v>265</v>
      </c>
      <c r="C46" s="201">
        <v>103.86762531193999</v>
      </c>
      <c r="D46" s="189"/>
      <c r="G46" s="206"/>
      <c r="I46" s="202" t="s">
        <v>115</v>
      </c>
      <c r="J46" s="203">
        <v>0</v>
      </c>
      <c r="M46" s="204">
        <f t="shared" si="3"/>
        <v>103.86762531193999</v>
      </c>
      <c r="N46" s="205">
        <f t="shared" si="4"/>
        <v>0</v>
      </c>
    </row>
    <row r="47" spans="2:14" ht="27" customHeight="1" outlineLevel="1" x14ac:dyDescent="0.25">
      <c r="B47" s="208" t="s">
        <v>268</v>
      </c>
      <c r="C47" s="201">
        <v>6.6390619219099998</v>
      </c>
      <c r="D47" s="189"/>
      <c r="G47" s="206"/>
      <c r="I47" s="202" t="s">
        <v>115</v>
      </c>
      <c r="J47" s="203">
        <v>0</v>
      </c>
      <c r="M47" s="204">
        <f t="shared" si="3"/>
        <v>6.6390619219099998</v>
      </c>
      <c r="N47" s="205">
        <f t="shared" si="4"/>
        <v>0</v>
      </c>
    </row>
    <row r="48" spans="2:14" ht="27" customHeight="1" outlineLevel="1" x14ac:dyDescent="0.25">
      <c r="B48" s="208" t="s">
        <v>482</v>
      </c>
      <c r="C48" s="201">
        <v>4.3756259369999997</v>
      </c>
      <c r="D48" s="189"/>
      <c r="G48" s="206"/>
      <c r="I48" s="202" t="s">
        <v>115</v>
      </c>
      <c r="J48" s="203">
        <v>0</v>
      </c>
      <c r="M48" s="204">
        <f t="shared" si="3"/>
        <v>4.3756259369999997</v>
      </c>
      <c r="N48" s="205">
        <f t="shared" si="4"/>
        <v>0</v>
      </c>
    </row>
    <row r="49" spans="2:14" ht="27" customHeight="1" outlineLevel="1" x14ac:dyDescent="0.25">
      <c r="B49" s="208" t="s">
        <v>182</v>
      </c>
      <c r="C49" s="201">
        <v>0.32566675400001088</v>
      </c>
      <c r="G49" s="206"/>
      <c r="I49" s="202" t="s">
        <v>115</v>
      </c>
      <c r="J49" s="203">
        <v>0</v>
      </c>
      <c r="M49" s="204">
        <f t="shared" si="3"/>
        <v>0.32566675400001088</v>
      </c>
      <c r="N49" s="205">
        <f t="shared" si="4"/>
        <v>0</v>
      </c>
    </row>
    <row r="50" spans="2:14" ht="27" customHeight="1" outlineLevel="1" x14ac:dyDescent="0.25">
      <c r="B50" s="207" t="s">
        <v>182</v>
      </c>
      <c r="C50" s="201">
        <v>0.40149516384999084</v>
      </c>
      <c r="G50" s="206"/>
      <c r="I50" s="202" t="s">
        <v>115</v>
      </c>
      <c r="J50" s="203">
        <v>0</v>
      </c>
      <c r="M50" s="204">
        <f t="shared" si="3"/>
        <v>0.40149516384999084</v>
      </c>
      <c r="N50" s="205">
        <f t="shared" si="4"/>
        <v>0</v>
      </c>
    </row>
    <row r="51" spans="2:14" ht="27" customHeight="1" outlineLevel="1" x14ac:dyDescent="0.25">
      <c r="B51" s="200" t="s">
        <v>271</v>
      </c>
      <c r="C51" s="201"/>
      <c r="G51" s="206"/>
      <c r="I51" s="202"/>
      <c r="J51" s="389"/>
      <c r="M51" s="204"/>
      <c r="N51" s="205"/>
    </row>
    <row r="52" spans="2:14" ht="27" customHeight="1" outlineLevel="1" x14ac:dyDescent="0.25">
      <c r="B52" s="207" t="s">
        <v>185</v>
      </c>
      <c r="C52" s="201">
        <v>1.3075495620399999</v>
      </c>
      <c r="G52" s="206"/>
      <c r="I52" s="202" t="s">
        <v>115</v>
      </c>
      <c r="J52" s="203">
        <v>0</v>
      </c>
      <c r="M52" s="204">
        <f t="shared" si="3"/>
        <v>1.3075495620399999</v>
      </c>
      <c r="N52" s="205">
        <f t="shared" si="4"/>
        <v>0</v>
      </c>
    </row>
    <row r="53" spans="2:14" ht="27" customHeight="1" outlineLevel="1" x14ac:dyDescent="0.25">
      <c r="B53" s="207" t="s">
        <v>182</v>
      </c>
      <c r="C53" s="201">
        <v>0.42168233790000009</v>
      </c>
      <c r="G53" s="206"/>
      <c r="I53" s="202" t="s">
        <v>115</v>
      </c>
      <c r="J53" s="203">
        <v>0</v>
      </c>
      <c r="M53" s="204">
        <f t="shared" si="3"/>
        <v>0.42168233790000009</v>
      </c>
      <c r="N53" s="205">
        <f t="shared" si="4"/>
        <v>0</v>
      </c>
    </row>
    <row r="54" spans="2:14" ht="27" customHeight="1" outlineLevel="1" x14ac:dyDescent="0.25">
      <c r="B54" s="200" t="s">
        <v>205</v>
      </c>
      <c r="C54" s="201"/>
      <c r="D54" s="189"/>
      <c r="G54" s="206"/>
      <c r="I54" s="202"/>
      <c r="J54" s="389"/>
      <c r="M54" s="204"/>
      <c r="N54" s="205"/>
    </row>
    <row r="55" spans="2:14" ht="27" customHeight="1" outlineLevel="1" x14ac:dyDescent="0.25">
      <c r="B55" s="207" t="s">
        <v>272</v>
      </c>
      <c r="C55" s="201">
        <v>1.1753562545</v>
      </c>
      <c r="D55" s="189"/>
      <c r="G55" s="206"/>
      <c r="I55" s="202" t="s">
        <v>115</v>
      </c>
      <c r="J55" s="203">
        <v>0</v>
      </c>
      <c r="M55" s="204">
        <f t="shared" si="3"/>
        <v>1.1753562545</v>
      </c>
      <c r="N55" s="205">
        <f t="shared" si="4"/>
        <v>0</v>
      </c>
    </row>
    <row r="56" spans="2:14" ht="27" customHeight="1" outlineLevel="1" x14ac:dyDescent="0.25">
      <c r="B56" s="207" t="s">
        <v>182</v>
      </c>
      <c r="C56" s="201">
        <v>9.5722590000009542E-4</v>
      </c>
      <c r="D56" s="189"/>
      <c r="G56" s="206"/>
      <c r="I56" s="202" t="s">
        <v>115</v>
      </c>
      <c r="J56" s="203">
        <v>0</v>
      </c>
      <c r="M56" s="204">
        <f t="shared" si="3"/>
        <v>9.5722590000009542E-4</v>
      </c>
      <c r="N56" s="205">
        <f t="shared" si="4"/>
        <v>0</v>
      </c>
    </row>
    <row r="57" spans="2:14" ht="27" customHeight="1" outlineLevel="1" x14ac:dyDescent="0.25">
      <c r="B57" s="200" t="s">
        <v>254</v>
      </c>
      <c r="C57" s="201">
        <v>2.8907570357600001</v>
      </c>
      <c r="D57" s="189"/>
      <c r="G57" s="206"/>
      <c r="I57" s="202" t="s">
        <v>115</v>
      </c>
      <c r="J57" s="203">
        <v>0</v>
      </c>
      <c r="M57" s="204">
        <f t="shared" si="3"/>
        <v>2.8907570357600001</v>
      </c>
      <c r="N57" s="205">
        <f t="shared" si="4"/>
        <v>0</v>
      </c>
    </row>
    <row r="58" spans="2:14" ht="27" customHeight="1" x14ac:dyDescent="0.25">
      <c r="B58" s="591" t="s">
        <v>207</v>
      </c>
      <c r="C58" s="592">
        <f>SUM(C59:C59)</f>
        <v>5.9690933090000002E-2</v>
      </c>
      <c r="D58" s="593"/>
      <c r="E58" s="594"/>
      <c r="F58" s="593"/>
      <c r="G58" s="595"/>
      <c r="H58" s="596"/>
      <c r="I58" s="597"/>
      <c r="J58" s="598"/>
      <c r="K58" s="599"/>
      <c r="L58" s="594"/>
      <c r="M58" s="605">
        <f>SUM(M59:M59)</f>
        <v>5.9690933090000002E-2</v>
      </c>
      <c r="N58" s="601">
        <f t="shared" si="4"/>
        <v>0</v>
      </c>
    </row>
    <row r="59" spans="2:14" ht="27" customHeight="1" outlineLevel="1" x14ac:dyDescent="0.25">
      <c r="B59" s="200" t="s">
        <v>273</v>
      </c>
      <c r="C59" s="201">
        <v>5.9690933090000002E-2</v>
      </c>
      <c r="D59" s="189"/>
      <c r="G59" s="206"/>
      <c r="I59" s="202" t="s">
        <v>115</v>
      </c>
      <c r="J59" s="203">
        <v>0</v>
      </c>
      <c r="M59" s="204">
        <f>C59+J59/100*C59</f>
        <v>5.9690933090000002E-2</v>
      </c>
      <c r="N59" s="205">
        <f t="shared" si="4"/>
        <v>0</v>
      </c>
    </row>
    <row r="60" spans="2:14" ht="27" customHeight="1" x14ac:dyDescent="0.25">
      <c r="B60" s="591" t="s">
        <v>210</v>
      </c>
      <c r="C60" s="592">
        <f>SUM(C61:C62)</f>
        <v>0.80302063766000009</v>
      </c>
      <c r="D60" s="593"/>
      <c r="E60" s="606"/>
      <c r="F60" s="593"/>
      <c r="G60" s="595"/>
      <c r="H60" s="596"/>
      <c r="I60" s="597"/>
      <c r="J60" s="598"/>
      <c r="K60" s="599"/>
      <c r="L60" s="594"/>
      <c r="M60" s="605">
        <f>SUM(M61:M62)</f>
        <v>0.80302063766000009</v>
      </c>
      <c r="N60" s="601">
        <f>M60-C60</f>
        <v>0</v>
      </c>
    </row>
    <row r="61" spans="2:14" ht="27" customHeight="1" outlineLevel="1" x14ac:dyDescent="0.25">
      <c r="B61" s="200" t="s">
        <v>211</v>
      </c>
      <c r="C61" s="201">
        <v>0.80208030622000004</v>
      </c>
      <c r="G61" s="206"/>
      <c r="I61" s="202" t="s">
        <v>115</v>
      </c>
      <c r="J61" s="203">
        <v>0</v>
      </c>
      <c r="M61" s="204">
        <f>C61+J61/100*C61</f>
        <v>0.80208030622000004</v>
      </c>
      <c r="N61" s="205">
        <f>M61-C61</f>
        <v>0</v>
      </c>
    </row>
    <row r="62" spans="2:14" ht="27" customHeight="1" outlineLevel="1" x14ac:dyDescent="0.25">
      <c r="B62" s="209" t="s">
        <v>182</v>
      </c>
      <c r="C62" s="210">
        <v>9.4033143999999996E-4</v>
      </c>
      <c r="D62" s="211"/>
      <c r="E62" s="212"/>
      <c r="F62" s="213"/>
      <c r="G62" s="214"/>
      <c r="H62" s="215"/>
      <c r="I62" s="216" t="s">
        <v>115</v>
      </c>
      <c r="J62" s="203">
        <v>0</v>
      </c>
      <c r="K62" s="217"/>
      <c r="L62" s="212"/>
      <c r="M62" s="218">
        <f>C62+J62/100*C62</f>
        <v>9.4033143999999996E-4</v>
      </c>
      <c r="N62" s="219">
        <f>M62-C62</f>
        <v>0</v>
      </c>
    </row>
    <row r="63" spans="2:14" ht="27" customHeight="1" x14ac:dyDescent="0.25">
      <c r="B63" s="591" t="s">
        <v>182</v>
      </c>
      <c r="C63" s="592">
        <f>SUM(C64:C64)</f>
        <v>290.73765329511997</v>
      </c>
      <c r="D63" s="593"/>
      <c r="E63" s="594"/>
      <c r="F63" s="593"/>
      <c r="G63" s="595"/>
      <c r="H63" s="596"/>
      <c r="I63" s="597"/>
      <c r="J63" s="598"/>
      <c r="K63" s="599"/>
      <c r="L63" s="594"/>
      <c r="M63" s="605">
        <f>SUM(M64:M64)</f>
        <v>290.73765329511997</v>
      </c>
      <c r="N63" s="645">
        <f>M63-C63</f>
        <v>0</v>
      </c>
    </row>
    <row r="64" spans="2:14" ht="27" customHeight="1" outlineLevel="1" x14ac:dyDescent="0.25">
      <c r="B64" s="200" t="s">
        <v>274</v>
      </c>
      <c r="C64" s="201">
        <v>290.73765329511997</v>
      </c>
      <c r="D64" s="189"/>
      <c r="G64" s="206"/>
      <c r="I64" s="202" t="s">
        <v>115</v>
      </c>
      <c r="J64" s="203">
        <v>0</v>
      </c>
      <c r="M64" s="204">
        <f>C64+J64/100*C64</f>
        <v>290.73765329511997</v>
      </c>
      <c r="N64" s="220">
        <f>M64-C64</f>
        <v>0</v>
      </c>
    </row>
    <row r="65" spans="2:14" ht="27" customHeight="1" x14ac:dyDescent="0.25">
      <c r="B65" s="221" t="s">
        <v>212</v>
      </c>
      <c r="C65" s="607">
        <f>C60+C58+C15+C9+C5+C63</f>
        <v>590.54881889813987</v>
      </c>
      <c r="D65" s="608"/>
      <c r="E65" s="609"/>
      <c r="F65" s="608"/>
      <c r="G65" s="610"/>
      <c r="H65" s="611"/>
      <c r="I65" s="612"/>
      <c r="J65" s="613"/>
      <c r="K65" s="614"/>
      <c r="L65" s="615"/>
      <c r="M65" s="616">
        <f>M60+M58+M15+M9+M5+M63</f>
        <v>590.54881889813987</v>
      </c>
      <c r="N65" s="222">
        <f>N60+N58+N15+N9+N5+N63</f>
        <v>0</v>
      </c>
    </row>
    <row r="66" spans="2:14" ht="27" customHeight="1" x14ac:dyDescent="0.25">
      <c r="B66" s="591" t="s">
        <v>483</v>
      </c>
      <c r="C66" s="592">
        <f>SUM(C67:C78)</f>
        <v>15.436797952449997</v>
      </c>
      <c r="D66" s="593"/>
      <c r="E66" s="594"/>
      <c r="F66" s="593"/>
      <c r="G66" s="595"/>
      <c r="H66" s="596"/>
      <c r="I66" s="597"/>
      <c r="J66" s="598"/>
      <c r="K66" s="599"/>
      <c r="L66" s="594"/>
      <c r="M66" s="605">
        <f>SUM(M67:M78)</f>
        <v>15.436797952449997</v>
      </c>
      <c r="N66" s="601">
        <f>M66-C66</f>
        <v>0</v>
      </c>
    </row>
    <row r="67" spans="2:14" ht="27" customHeight="1" outlineLevel="1" x14ac:dyDescent="0.25">
      <c r="B67" s="200" t="s">
        <v>214</v>
      </c>
      <c r="C67" s="201">
        <v>0.18911397546</v>
      </c>
      <c r="G67" s="206"/>
      <c r="I67" s="202" t="s">
        <v>115</v>
      </c>
      <c r="J67" s="203">
        <v>0</v>
      </c>
      <c r="M67" s="204">
        <f>C67+J67/100*C67</f>
        <v>0.18911397546</v>
      </c>
      <c r="N67" s="205">
        <f t="shared" ref="N67:N68" si="5">M67-C67</f>
        <v>0</v>
      </c>
    </row>
    <row r="68" spans="2:14" ht="27" customHeight="1" outlineLevel="1" x14ac:dyDescent="0.25">
      <c r="B68" s="200" t="s">
        <v>275</v>
      </c>
      <c r="C68" s="201">
        <v>8.3388412540000012E-2</v>
      </c>
      <c r="G68" s="206"/>
      <c r="I68" s="202" t="s">
        <v>115</v>
      </c>
      <c r="J68" s="203">
        <v>0</v>
      </c>
      <c r="M68" s="204">
        <f t="shared" ref="M68" si="6">C68+J68/100*C68</f>
        <v>8.3388412540000012E-2</v>
      </c>
      <c r="N68" s="205">
        <f t="shared" si="5"/>
        <v>0</v>
      </c>
    </row>
    <row r="69" spans="2:14" ht="27" customHeight="1" outlineLevel="1" x14ac:dyDescent="0.25">
      <c r="B69" s="200" t="s">
        <v>276</v>
      </c>
      <c r="C69" s="201"/>
      <c r="G69" s="206"/>
      <c r="I69" s="202"/>
      <c r="J69" s="389"/>
      <c r="M69" s="204"/>
      <c r="N69" s="205"/>
    </row>
    <row r="70" spans="2:14" ht="27" customHeight="1" outlineLevel="1" x14ac:dyDescent="0.25">
      <c r="B70" s="207" t="s">
        <v>176</v>
      </c>
      <c r="C70" s="201">
        <v>6.1933942958000001</v>
      </c>
      <c r="G70" s="206"/>
      <c r="I70" s="202" t="s">
        <v>115</v>
      </c>
      <c r="J70" s="203">
        <v>0</v>
      </c>
      <c r="M70" s="204">
        <f t="shared" ref="M70:M78" si="7">C70+J70/100*C70</f>
        <v>6.1933942958000001</v>
      </c>
      <c r="N70" s="205">
        <f t="shared" ref="N70:N78" si="8">M70-C70</f>
        <v>0</v>
      </c>
    </row>
    <row r="71" spans="2:14" ht="27" customHeight="1" outlineLevel="1" x14ac:dyDescent="0.25">
      <c r="B71" s="207" t="s">
        <v>187</v>
      </c>
      <c r="C71" s="201">
        <v>2.31693985254</v>
      </c>
      <c r="G71" s="206"/>
      <c r="I71" s="202" t="s">
        <v>115</v>
      </c>
      <c r="J71" s="203">
        <v>0</v>
      </c>
      <c r="M71" s="204">
        <f t="shared" si="7"/>
        <v>2.31693985254</v>
      </c>
      <c r="N71" s="205">
        <f t="shared" si="8"/>
        <v>0</v>
      </c>
    </row>
    <row r="72" spans="2:14" ht="27" customHeight="1" outlineLevel="1" x14ac:dyDescent="0.25">
      <c r="B72" s="207" t="s">
        <v>184</v>
      </c>
      <c r="C72" s="201">
        <v>0.43297608486</v>
      </c>
      <c r="G72" s="206"/>
      <c r="I72" s="202" t="s">
        <v>115</v>
      </c>
      <c r="J72" s="203">
        <v>0</v>
      </c>
      <c r="M72" s="204">
        <f t="shared" si="7"/>
        <v>0.43297608486</v>
      </c>
      <c r="N72" s="205">
        <f t="shared" si="8"/>
        <v>0</v>
      </c>
    </row>
    <row r="73" spans="2:14" ht="27" customHeight="1" outlineLevel="1" x14ac:dyDescent="0.25">
      <c r="B73" s="207" t="s">
        <v>269</v>
      </c>
      <c r="C73" s="201">
        <v>1.7720731031300001</v>
      </c>
      <c r="G73" s="206"/>
      <c r="I73" s="202" t="s">
        <v>115</v>
      </c>
      <c r="J73" s="203">
        <v>0</v>
      </c>
      <c r="M73" s="204">
        <f t="shared" si="7"/>
        <v>1.7720731031300001</v>
      </c>
      <c r="N73" s="205">
        <f t="shared" si="8"/>
        <v>0</v>
      </c>
    </row>
    <row r="74" spans="2:14" ht="27" customHeight="1" outlineLevel="1" x14ac:dyDescent="0.25">
      <c r="B74" s="207" t="s">
        <v>185</v>
      </c>
      <c r="C74" s="201">
        <v>1.4367326602100001</v>
      </c>
      <c r="G74" s="206"/>
      <c r="I74" s="202" t="s">
        <v>115</v>
      </c>
      <c r="J74" s="203">
        <v>0</v>
      </c>
      <c r="M74" s="204">
        <f t="shared" si="7"/>
        <v>1.4367326602100001</v>
      </c>
      <c r="N74" s="205">
        <f t="shared" si="8"/>
        <v>0</v>
      </c>
    </row>
    <row r="75" spans="2:14" ht="27" customHeight="1" outlineLevel="1" x14ac:dyDescent="0.25">
      <c r="B75" s="207" t="s">
        <v>182</v>
      </c>
      <c r="C75" s="201">
        <v>0.72686085059999705</v>
      </c>
      <c r="G75" s="206"/>
      <c r="I75" s="202" t="s">
        <v>115</v>
      </c>
      <c r="J75" s="203">
        <v>0</v>
      </c>
      <c r="M75" s="204">
        <f t="shared" si="7"/>
        <v>0.72686085059999705</v>
      </c>
      <c r="N75" s="205">
        <f t="shared" si="8"/>
        <v>0</v>
      </c>
    </row>
    <row r="76" spans="2:14" ht="27" customHeight="1" outlineLevel="1" x14ac:dyDescent="0.25">
      <c r="B76" s="200" t="s">
        <v>217</v>
      </c>
      <c r="C76" s="201">
        <v>0.32862921273000001</v>
      </c>
      <c r="G76" s="206"/>
      <c r="I76" s="202" t="s">
        <v>115</v>
      </c>
      <c r="J76" s="203">
        <v>0</v>
      </c>
      <c r="M76" s="204">
        <f t="shared" si="7"/>
        <v>0.32862921273000001</v>
      </c>
      <c r="N76" s="205">
        <f t="shared" si="8"/>
        <v>0</v>
      </c>
    </row>
    <row r="77" spans="2:14" ht="27" customHeight="1" outlineLevel="1" x14ac:dyDescent="0.25">
      <c r="B77" s="200" t="s">
        <v>277</v>
      </c>
      <c r="C77" s="201">
        <v>0.69622565174000006</v>
      </c>
      <c r="G77" s="206"/>
      <c r="I77" s="202" t="s">
        <v>115</v>
      </c>
      <c r="J77" s="203">
        <v>0</v>
      </c>
      <c r="M77" s="204">
        <f t="shared" si="7"/>
        <v>0.69622565174000006</v>
      </c>
      <c r="N77" s="205">
        <f t="shared" si="8"/>
        <v>0</v>
      </c>
    </row>
    <row r="78" spans="2:14" ht="27" customHeight="1" outlineLevel="1" x14ac:dyDescent="0.25">
      <c r="B78" s="200" t="s">
        <v>278</v>
      </c>
      <c r="C78" s="201">
        <v>1.2604638528399998</v>
      </c>
      <c r="G78" s="206"/>
      <c r="I78" s="202" t="s">
        <v>115</v>
      </c>
      <c r="J78" s="203">
        <v>0</v>
      </c>
      <c r="M78" s="204">
        <f t="shared" si="7"/>
        <v>1.2604638528399998</v>
      </c>
      <c r="N78" s="205">
        <f t="shared" si="8"/>
        <v>0</v>
      </c>
    </row>
    <row r="79" spans="2:14" ht="27" customHeight="1" x14ac:dyDescent="0.25">
      <c r="B79" s="591" t="s">
        <v>220</v>
      </c>
      <c r="C79" s="592">
        <f>SUM(C80:C95)</f>
        <v>25.714424529770003</v>
      </c>
      <c r="D79" s="593"/>
      <c r="E79" s="594"/>
      <c r="F79" s="593"/>
      <c r="G79" s="595"/>
      <c r="H79" s="596"/>
      <c r="I79" s="597"/>
      <c r="J79" s="598"/>
      <c r="K79" s="599"/>
      <c r="L79" s="594"/>
      <c r="M79" s="605">
        <f>SUM(M80:M95)</f>
        <v>25.714424529770003</v>
      </c>
      <c r="N79" s="601">
        <f>M79-C79</f>
        <v>0</v>
      </c>
    </row>
    <row r="80" spans="2:14" ht="27" customHeight="1" outlineLevel="1" x14ac:dyDescent="0.25">
      <c r="B80" s="200" t="s">
        <v>279</v>
      </c>
      <c r="C80" s="201"/>
      <c r="G80" s="206"/>
      <c r="I80" s="202"/>
      <c r="M80" s="204"/>
      <c r="N80" s="205"/>
    </row>
    <row r="81" spans="2:14" ht="27" customHeight="1" outlineLevel="1" x14ac:dyDescent="0.25">
      <c r="B81" s="207" t="s">
        <v>269</v>
      </c>
      <c r="C81" s="201">
        <v>2.1958772404000002</v>
      </c>
      <c r="G81" s="206"/>
      <c r="I81" s="202" t="s">
        <v>115</v>
      </c>
      <c r="J81" s="203">
        <v>0</v>
      </c>
      <c r="M81" s="204">
        <f t="shared" ref="M81:M82" si="9">C81+J81/100*C81</f>
        <v>2.1958772404000002</v>
      </c>
      <c r="N81" s="205">
        <f t="shared" ref="N81:N82" si="10">M81-C81</f>
        <v>0</v>
      </c>
    </row>
    <row r="82" spans="2:14" ht="27" customHeight="1" outlineLevel="1" x14ac:dyDescent="0.25">
      <c r="B82" s="207" t="s">
        <v>182</v>
      </c>
      <c r="C82" s="201">
        <v>0.46701884908999969</v>
      </c>
      <c r="G82" s="206"/>
      <c r="I82" s="202" t="s">
        <v>115</v>
      </c>
      <c r="J82" s="203">
        <v>0</v>
      </c>
      <c r="M82" s="204">
        <f t="shared" si="9"/>
        <v>0.46701884908999969</v>
      </c>
      <c r="N82" s="205">
        <f t="shared" si="10"/>
        <v>0</v>
      </c>
    </row>
    <row r="83" spans="2:14" ht="27" customHeight="1" outlineLevel="1" x14ac:dyDescent="0.25">
      <c r="B83" s="200" t="s">
        <v>280</v>
      </c>
      <c r="C83" s="201"/>
      <c r="G83" s="206"/>
      <c r="I83" s="202"/>
      <c r="J83" s="389"/>
      <c r="M83" s="204"/>
      <c r="N83" s="205"/>
    </row>
    <row r="84" spans="2:14" ht="27" customHeight="1" outlineLevel="1" x14ac:dyDescent="0.25">
      <c r="B84" s="207" t="s">
        <v>281</v>
      </c>
      <c r="C84" s="201">
        <v>1.0493418350999999</v>
      </c>
      <c r="G84" s="206"/>
      <c r="I84" s="202" t="s">
        <v>115</v>
      </c>
      <c r="J84" s="203">
        <v>0</v>
      </c>
      <c r="M84" s="204">
        <f t="shared" ref="M84:M95" si="11">C84+J84/100*C84</f>
        <v>1.0493418350999999</v>
      </c>
      <c r="N84" s="205">
        <f t="shared" ref="N84:N95" si="12">M84-C84</f>
        <v>0</v>
      </c>
    </row>
    <row r="85" spans="2:14" ht="27" customHeight="1" outlineLevel="1" x14ac:dyDescent="0.25">
      <c r="B85" s="207" t="s">
        <v>182</v>
      </c>
      <c r="C85" s="201">
        <v>3.2210668817599997</v>
      </c>
      <c r="D85" s="189"/>
      <c r="G85" s="206"/>
      <c r="I85" s="202" t="s">
        <v>115</v>
      </c>
      <c r="J85" s="203">
        <v>0</v>
      </c>
      <c r="M85" s="204">
        <f t="shared" si="11"/>
        <v>3.2210668817599997</v>
      </c>
      <c r="N85" s="205">
        <f t="shared" si="12"/>
        <v>0</v>
      </c>
    </row>
    <row r="86" spans="2:14" ht="27" customHeight="1" outlineLevel="1" x14ac:dyDescent="0.25">
      <c r="B86" s="200" t="s">
        <v>282</v>
      </c>
      <c r="C86" s="201"/>
      <c r="G86" s="206"/>
      <c r="I86" s="202"/>
      <c r="J86" s="389"/>
      <c r="M86" s="204"/>
      <c r="N86" s="205"/>
    </row>
    <row r="87" spans="2:14" ht="27" customHeight="1" outlineLevel="1" x14ac:dyDescent="0.25">
      <c r="B87" s="207" t="s">
        <v>176</v>
      </c>
      <c r="C87" s="201">
        <v>9.2136117266799999</v>
      </c>
      <c r="G87" s="206"/>
      <c r="I87" s="202" t="s">
        <v>115</v>
      </c>
      <c r="J87" s="203">
        <v>0</v>
      </c>
      <c r="M87" s="204">
        <f t="shared" si="11"/>
        <v>9.2136117266799999</v>
      </c>
      <c r="N87" s="205">
        <f t="shared" si="12"/>
        <v>0</v>
      </c>
    </row>
    <row r="88" spans="2:14" ht="27" customHeight="1" outlineLevel="1" x14ac:dyDescent="0.25">
      <c r="B88" s="207" t="s">
        <v>187</v>
      </c>
      <c r="C88" s="201">
        <v>3.2390137104099996</v>
      </c>
      <c r="G88" s="206"/>
      <c r="I88" s="202" t="s">
        <v>115</v>
      </c>
      <c r="J88" s="203">
        <v>0</v>
      </c>
      <c r="M88" s="204">
        <f t="shared" si="11"/>
        <v>3.2390137104099996</v>
      </c>
      <c r="N88" s="205">
        <f t="shared" si="12"/>
        <v>0</v>
      </c>
    </row>
    <row r="89" spans="2:14" ht="27" customHeight="1" outlineLevel="1" x14ac:dyDescent="0.25">
      <c r="B89" s="207" t="s">
        <v>184</v>
      </c>
      <c r="C89" s="201">
        <v>0.82532492747000008</v>
      </c>
      <c r="G89" s="206"/>
      <c r="I89" s="202" t="s">
        <v>115</v>
      </c>
      <c r="J89" s="203">
        <v>0</v>
      </c>
      <c r="M89" s="204">
        <f t="shared" si="11"/>
        <v>0.82532492747000008</v>
      </c>
      <c r="N89" s="205">
        <f t="shared" si="12"/>
        <v>0</v>
      </c>
    </row>
    <row r="90" spans="2:14" ht="27" customHeight="1" outlineLevel="1" x14ac:dyDescent="0.25">
      <c r="B90" s="207" t="s">
        <v>269</v>
      </c>
      <c r="C90" s="201">
        <v>3.2461687685299996</v>
      </c>
      <c r="G90" s="206"/>
      <c r="I90" s="202" t="s">
        <v>115</v>
      </c>
      <c r="J90" s="203">
        <v>0</v>
      </c>
      <c r="M90" s="204">
        <f t="shared" si="11"/>
        <v>3.2461687685299996</v>
      </c>
      <c r="N90" s="205">
        <f t="shared" si="12"/>
        <v>0</v>
      </c>
    </row>
    <row r="91" spans="2:14" ht="27" customHeight="1" outlineLevel="1" x14ac:dyDescent="0.25">
      <c r="B91" s="207" t="s">
        <v>182</v>
      </c>
      <c r="C91" s="201">
        <v>0.7805861292400017</v>
      </c>
      <c r="G91" s="206"/>
      <c r="I91" s="202" t="s">
        <v>115</v>
      </c>
      <c r="J91" s="203">
        <v>0</v>
      </c>
      <c r="M91" s="204">
        <f t="shared" si="11"/>
        <v>0.7805861292400017</v>
      </c>
      <c r="N91" s="205">
        <f t="shared" si="12"/>
        <v>0</v>
      </c>
    </row>
    <row r="92" spans="2:14" ht="27" customHeight="1" outlineLevel="1" x14ac:dyDescent="0.25">
      <c r="B92" s="200" t="s">
        <v>283</v>
      </c>
      <c r="C92" s="201"/>
      <c r="G92" s="206"/>
      <c r="I92" s="202"/>
      <c r="J92" s="389"/>
      <c r="M92" s="204"/>
      <c r="N92" s="205"/>
    </row>
    <row r="93" spans="2:14" ht="27" customHeight="1" outlineLevel="1" x14ac:dyDescent="0.25">
      <c r="B93" s="207" t="s">
        <v>177</v>
      </c>
      <c r="C93" s="201">
        <v>0.84861577340999994</v>
      </c>
      <c r="G93" s="206"/>
      <c r="I93" s="202" t="s">
        <v>115</v>
      </c>
      <c r="J93" s="203">
        <v>0</v>
      </c>
      <c r="M93" s="204">
        <f t="shared" si="11"/>
        <v>0.84861577340999994</v>
      </c>
      <c r="N93" s="205">
        <f t="shared" si="12"/>
        <v>0</v>
      </c>
    </row>
    <row r="94" spans="2:14" ht="27" customHeight="1" outlineLevel="1" x14ac:dyDescent="0.25">
      <c r="B94" s="207" t="s">
        <v>182</v>
      </c>
      <c r="C94" s="201">
        <v>7.5092889200000764E-3</v>
      </c>
      <c r="G94" s="206"/>
      <c r="I94" s="202" t="s">
        <v>115</v>
      </c>
      <c r="J94" s="203">
        <v>0</v>
      </c>
      <c r="M94" s="204">
        <f t="shared" si="11"/>
        <v>7.5092889200000764E-3</v>
      </c>
      <c r="N94" s="205">
        <f t="shared" si="12"/>
        <v>0</v>
      </c>
    </row>
    <row r="95" spans="2:14" ht="27" customHeight="1" outlineLevel="1" x14ac:dyDescent="0.25">
      <c r="B95" s="200" t="s">
        <v>226</v>
      </c>
      <c r="C95" s="201">
        <v>0.62028939876</v>
      </c>
      <c r="G95" s="206"/>
      <c r="I95" s="202" t="s">
        <v>115</v>
      </c>
      <c r="J95" s="203">
        <v>0</v>
      </c>
      <c r="M95" s="204">
        <f t="shared" si="11"/>
        <v>0.62028939876</v>
      </c>
      <c r="N95" s="205">
        <f t="shared" si="12"/>
        <v>0</v>
      </c>
    </row>
    <row r="96" spans="2:14" ht="27" customHeight="1" x14ac:dyDescent="0.25">
      <c r="B96" s="591" t="s">
        <v>284</v>
      </c>
      <c r="C96" s="592">
        <f>SUM(C97:C97)</f>
        <v>2.2019779133499999</v>
      </c>
      <c r="D96" s="593"/>
      <c r="E96" s="594"/>
      <c r="F96" s="593"/>
      <c r="G96" s="595"/>
      <c r="H96" s="596"/>
      <c r="I96" s="597"/>
      <c r="J96" s="598"/>
      <c r="K96" s="599"/>
      <c r="L96" s="594"/>
      <c r="M96" s="605">
        <f>SUM(M97:M97)</f>
        <v>2.2019779133499999</v>
      </c>
      <c r="N96" s="645">
        <f>M96-C96</f>
        <v>0</v>
      </c>
    </row>
    <row r="97" spans="2:14" ht="27" customHeight="1" outlineLevel="1" x14ac:dyDescent="0.25">
      <c r="B97" s="200" t="s">
        <v>285</v>
      </c>
      <c r="C97" s="201">
        <v>2.2019779133499999</v>
      </c>
      <c r="D97" s="189"/>
      <c r="G97" s="206"/>
      <c r="I97" s="202" t="s">
        <v>115</v>
      </c>
      <c r="J97" s="203">
        <v>0</v>
      </c>
      <c r="M97" s="204">
        <f>C97+J97/100*C97</f>
        <v>2.2019779133499999</v>
      </c>
      <c r="N97" s="220">
        <f>M97-C97</f>
        <v>0</v>
      </c>
    </row>
    <row r="98" spans="2:14" ht="27" customHeight="1" x14ac:dyDescent="0.25">
      <c r="B98" s="221" t="s">
        <v>231</v>
      </c>
      <c r="C98" s="607">
        <f>C66+C79+C96</f>
        <v>43.353200395569999</v>
      </c>
      <c r="D98" s="608"/>
      <c r="E98" s="617"/>
      <c r="F98" s="608"/>
      <c r="G98" s="610"/>
      <c r="H98" s="611"/>
      <c r="I98" s="612"/>
      <c r="J98" s="613"/>
      <c r="K98" s="614"/>
      <c r="L98" s="615"/>
      <c r="M98" s="616">
        <f>M66+M79+M96</f>
        <v>43.353200395569999</v>
      </c>
      <c r="N98" s="222">
        <f t="shared" ref="N98" si="13">M98-C98</f>
        <v>0</v>
      </c>
    </row>
    <row r="99" spans="2:14" ht="27" customHeight="1" x14ac:dyDescent="0.25">
      <c r="B99" s="223" t="s">
        <v>62</v>
      </c>
      <c r="C99" s="224">
        <f>C5+C9+C58+C60+C15++C66+C79+C96+C63</f>
        <v>633.90201929370983</v>
      </c>
      <c r="D99" s="225"/>
      <c r="E99" s="226"/>
      <c r="F99" s="225"/>
      <c r="G99" s="227"/>
      <c r="H99" s="228"/>
      <c r="I99" s="229"/>
      <c r="J99" s="230"/>
      <c r="K99" s="231"/>
      <c r="L99" s="226"/>
      <c r="M99" s="232">
        <f>M5+M9+M58+M60+M15++M66+M79+M96+M63</f>
        <v>633.90201929370983</v>
      </c>
      <c r="N99" s="233">
        <f>N5+N9+N58+N60+N15++N66+N79+N96+N63</f>
        <v>0</v>
      </c>
    </row>
    <row r="100" spans="2:14" ht="27" customHeight="1" x14ac:dyDescent="0.25">
      <c r="B100" s="234"/>
      <c r="C100" s="235"/>
      <c r="G100" s="206"/>
      <c r="I100" s="202"/>
      <c r="M100" s="204"/>
      <c r="N100" s="205"/>
    </row>
    <row r="101" spans="2:14" s="190" customFormat="1" ht="27" customHeight="1" x14ac:dyDescent="0.25">
      <c r="B101" s="591" t="s">
        <v>484</v>
      </c>
      <c r="C101" s="618">
        <v>643.73190209878999</v>
      </c>
      <c r="D101" s="619"/>
      <c r="E101" s="620"/>
      <c r="F101" s="619"/>
      <c r="G101" s="621"/>
      <c r="H101" s="622"/>
      <c r="I101" s="623"/>
      <c r="J101" s="624"/>
      <c r="K101" s="625"/>
      <c r="L101" s="620"/>
      <c r="M101" s="605"/>
      <c r="N101" s="601"/>
    </row>
    <row r="102" spans="2:14" s="190" customFormat="1" ht="27" customHeight="1" x14ac:dyDescent="0.25">
      <c r="B102" s="626" t="s">
        <v>485</v>
      </c>
      <c r="C102" s="627">
        <f>C101-C99</f>
        <v>9.8298828050801603</v>
      </c>
      <c r="D102" s="628"/>
      <c r="E102" s="629"/>
      <c r="F102" s="628"/>
      <c r="G102" s="630"/>
      <c r="H102" s="631"/>
      <c r="I102" s="632"/>
      <c r="J102" s="633"/>
      <c r="K102" s="634"/>
      <c r="L102" s="629"/>
      <c r="M102" s="635"/>
      <c r="N102" s="636"/>
    </row>
    <row r="103" spans="2:14" ht="27" customHeight="1" x14ac:dyDescent="0.25">
      <c r="B103" s="637"/>
      <c r="C103" s="201"/>
      <c r="G103" s="206"/>
      <c r="I103" s="202"/>
      <c r="M103" s="204"/>
      <c r="N103" s="205"/>
    </row>
    <row r="104" spans="2:14" s="190" customFormat="1" ht="27" customHeight="1" x14ac:dyDescent="0.25">
      <c r="B104" s="591" t="s">
        <v>484</v>
      </c>
      <c r="C104" s="592"/>
      <c r="D104" s="619"/>
      <c r="E104" s="620"/>
      <c r="F104" s="619"/>
      <c r="G104" s="621"/>
      <c r="H104" s="622"/>
      <c r="I104" s="623"/>
      <c r="J104" s="624"/>
      <c r="K104" s="625"/>
      <c r="L104" s="620"/>
      <c r="M104" s="605">
        <f>C101</f>
        <v>643.73190209878999</v>
      </c>
      <c r="N104" s="601"/>
    </row>
    <row r="105" spans="2:14" s="190" customFormat="1" ht="27" customHeight="1" thickBot="1" x14ac:dyDescent="0.3">
      <c r="B105" s="374" t="s">
        <v>486</v>
      </c>
      <c r="C105" s="638"/>
      <c r="D105" s="639"/>
      <c r="E105" s="640"/>
      <c r="F105" s="639"/>
      <c r="G105" s="236"/>
      <c r="H105" s="641"/>
      <c r="I105" s="237"/>
      <c r="J105" s="642"/>
      <c r="K105" s="643"/>
      <c r="L105" s="640"/>
      <c r="M105" s="644">
        <f>M104-M99</f>
        <v>9.8298828050801603</v>
      </c>
      <c r="N105" s="367"/>
    </row>
  </sheetData>
  <sheetProtection algorithmName="SHA-512" hashValue="OJ266xQEhx6u9jv5IbS8kCLvhZ3fL0K9T26+wLjK4oNNpXY+whl6gMlOrMpJyg4wZ1nkpUCQyIMpmGwQ9tFa5Q==" saltValue="cGTaoYl6wNI9eh/qW4DIJg==" spinCount="100000" sheet="1" objects="1" scenarios="1"/>
  <mergeCells count="5">
    <mergeCell ref="B3:B4"/>
    <mergeCell ref="C3:G3"/>
    <mergeCell ref="I3:M3"/>
    <mergeCell ref="N3:N4"/>
    <mergeCell ref="C1:N1"/>
  </mergeCells>
  <conditionalFormatting sqref="C102">
    <cfRule type="cellIs" dxfId="9" priority="1" operator="greaterThan">
      <formula>0</formula>
    </cfRule>
    <cfRule type="cellIs" dxfId="8" priority="2" operator="lessThan">
      <formula>0</formula>
    </cfRule>
  </conditionalFormatting>
  <conditionalFormatting sqref="M105">
    <cfRule type="cellIs" dxfId="7" priority="3" operator="greaterThan">
      <formula>0</formula>
    </cfRule>
    <cfRule type="cellIs" dxfId="6" priority="4" operator="lessThan">
      <formula>0</formula>
    </cfRule>
  </conditionalFormatting>
  <pageMargins left="0.25" right="0.25" top="0.75" bottom="0.75" header="0.3" footer="0.3"/>
  <pageSetup paperSize="8" scale="2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A97C4C24F3A3A4EABF87626FA75D9E4" ma:contentTypeVersion="18" ma:contentTypeDescription="Vytvoří nový dokument" ma:contentTypeScope="" ma:versionID="62cc351c72ad9d75784fab34b2dabd11">
  <xsd:schema xmlns:xsd="http://www.w3.org/2001/XMLSchema" xmlns:xs="http://www.w3.org/2001/XMLSchema" xmlns:p="http://schemas.microsoft.com/office/2006/metadata/properties" xmlns:ns2="89b4086a-0d53-47ac-910c-840a5b10c85d" xmlns:ns3="90d52d28-043e-4442-b035-5463ef3585bc" targetNamespace="http://schemas.microsoft.com/office/2006/metadata/properties" ma:root="true" ma:fieldsID="bf650012b7a69c05f5400e3eacdb78c3" ns2:_="" ns3:_="">
    <xsd:import namespace="89b4086a-0d53-47ac-910c-840a5b10c85d"/>
    <xsd:import namespace="90d52d28-043e-4442-b035-5463ef3585b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b4086a-0d53-47ac-910c-840a5b10c8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Značky obrázků" ma:readOnly="false" ma:fieldId="{5cf76f15-5ced-4ddc-b409-7134ff3c332f}" ma:taxonomyMulti="true" ma:sspId="44bc8ca8-2ac0-42bc-83ca-496132f8945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d52d28-043e-4442-b035-5463ef3585bc" elementFormDefault="qualified">
    <xsd:import namespace="http://schemas.microsoft.com/office/2006/documentManagement/types"/>
    <xsd:import namespace="http://schemas.microsoft.com/office/infopath/2007/PartnerControls"/>
    <xsd:element name="SharedWithUsers" ma:index="1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5541ae02-8940-4de2-bb02-cc7aa1fe79bd}" ma:internalName="TaxCatchAll" ma:showField="CatchAllData" ma:web="90d52d28-043e-4442-b035-5463ef3585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9b4086a-0d53-47ac-910c-840a5b10c85d">
      <Terms xmlns="http://schemas.microsoft.com/office/infopath/2007/PartnerControls"/>
    </lcf76f155ced4ddcb4097134ff3c332f>
    <TaxCatchAll xmlns="90d52d28-043e-4442-b035-5463ef3585bc" xsi:nil="true"/>
  </documentManagement>
</p:properties>
</file>

<file path=customXml/itemProps1.xml><?xml version="1.0" encoding="utf-8"?>
<ds:datastoreItem xmlns:ds="http://schemas.openxmlformats.org/officeDocument/2006/customXml" ds:itemID="{D17A2417-9E8B-462A-A309-BBB602961C17}">
  <ds:schemaRefs>
    <ds:schemaRef ds:uri="http://schemas.microsoft.com/sharepoint/v3/contenttype/forms"/>
  </ds:schemaRefs>
</ds:datastoreItem>
</file>

<file path=customXml/itemProps2.xml><?xml version="1.0" encoding="utf-8"?>
<ds:datastoreItem xmlns:ds="http://schemas.openxmlformats.org/officeDocument/2006/customXml" ds:itemID="{637A2EDD-2521-4B5A-B20E-8F867832A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b4086a-0d53-47ac-910c-840a5b10c85d"/>
    <ds:schemaRef ds:uri="90d52d28-043e-4442-b035-5463ef3585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CF04F8-C1B4-4631-B7CD-80E70042E836}">
  <ds:schemaRefs>
    <ds:schemaRef ds:uri="http://schemas.microsoft.com/office/2006/metadata/properties"/>
    <ds:schemaRef ds:uri="http://schemas.microsoft.com/office/infopath/2007/PartnerControls"/>
    <ds:schemaRef ds:uri="89b4086a-0d53-47ac-910c-840a5b10c85d"/>
    <ds:schemaRef ds:uri="90d52d28-043e-4442-b035-5463ef3585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3</vt:i4>
      </vt:variant>
    </vt:vector>
  </HeadingPairs>
  <TitlesOfParts>
    <vt:vector size="15" baseType="lpstr">
      <vt:lpstr>OBSAH</vt:lpstr>
      <vt:lpstr>1a) Komentář - veřejné příjmy</vt:lpstr>
      <vt:lpstr>1b) Kalkulačka - veřejné příjmy</vt:lpstr>
      <vt:lpstr>2a) Komentář - výdaje SR </vt:lpstr>
      <vt:lpstr>2b) Kalkulačka - výdaje SR</vt:lpstr>
      <vt:lpstr>3a) Komentář - státní fondy</vt:lpstr>
      <vt:lpstr>3b) Kalkulačka - státní fondy</vt:lpstr>
      <vt:lpstr>4a) Komentář - kraje a obce</vt:lpstr>
      <vt:lpstr>4b) Kalkulačka - výdaje krajů</vt:lpstr>
      <vt:lpstr>4c) Kalkulačka - výdaje obcí</vt:lpstr>
      <vt:lpstr>5a) Komentář - zdr. poj.</vt:lpstr>
      <vt:lpstr>5b) Kalkulačka - zdr. poj.</vt:lpstr>
      <vt:lpstr>'2a) Komentář - výdaje SR '!_ftnref1</vt:lpstr>
      <vt:lpstr>'1a) Komentář - veřejné příjmy'!Oblast_tisku</vt:lpstr>
      <vt:lpstr>'1b) Kalkulačka - veřejné příjmy'!Oblast_tisku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2024-06-21T10:59:57Z</dcterms:created>
  <dcterms:modified xsi:type="dcterms:W3CDTF">2025-10-29T11:05:07Z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0x0101002A97C4C24F3A3A4EABF87626FA75D9E4</vt:lpwstr>
  </property>
  <property fmtid="{D5CDD505-2E9C-101B-9397-08002B2CF9AE}" pid="3" name="MediaServiceImageTags">
    <vt:lpwstr/>
  </property>
</Properties>
</file>